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uillotRegis\OneDrive - Goldbelt Inc\Models\Paper2018Eggs\ModelJifsan\"/>
    </mc:Choice>
  </mc:AlternateContent>
  <xr:revisionPtr revIDLastSave="14" documentId="113_{AF31640F-3B41-4443-8AAC-DA65ED5280EE}" xr6:coauthVersionLast="45" xr6:coauthVersionMax="45" xr10:uidLastSave="{6F7E87A2-DFE2-4C1E-82F2-97B22A2B7867}"/>
  <bookViews>
    <workbookView xWindow="-120" yWindow="-120" windowWidth="29040" windowHeight="15840" tabRatio="880" xr2:uid="{00000000-000D-0000-FFFF-FFFF00000000}"/>
  </bookViews>
  <sheets>
    <sheet name="Inputs" sheetId="40" r:id="rId1"/>
    <sheet name="Results" sheetId="21" r:id="rId2"/>
  </sheets>
  <functionGroups builtInGroupCount="19"/>
  <definedNames>
    <definedName name="_xlnm._FilterDatabase" localSheetId="1" hidden="1">Results!$B$5:$AP$1018</definedName>
    <definedName name="treeList" hidden="1">"10000000000000000000000000000000000000000000000000000000000000000000000000000000000000000000000000000000000000000000000000000000000000000000000000000000000000000000000000000000000000000000000000000000"</definedName>
  </definedNames>
  <calcPr calcId="191029" calcMode="manual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40" l="1"/>
  <c r="J58" i="40"/>
  <c r="F65" i="40" l="1"/>
  <c r="F73" i="40"/>
  <c r="F72" i="40"/>
  <c r="F71" i="40"/>
  <c r="F70" i="40"/>
  <c r="F69" i="40"/>
  <c r="F68" i="40"/>
  <c r="F67" i="40"/>
  <c r="F66" i="40"/>
  <c r="F63" i="40"/>
  <c r="F62" i="40"/>
  <c r="F61" i="40"/>
  <c r="F60" i="40"/>
  <c r="F59" i="40"/>
  <c r="F58" i="40"/>
  <c r="F57" i="40"/>
  <c r="F56" i="40"/>
  <c r="E18" i="21"/>
  <c r="F18" i="21"/>
  <c r="G18" i="21"/>
  <c r="H18" i="21"/>
  <c r="I18" i="21"/>
  <c r="J18" i="21"/>
  <c r="K18" i="21"/>
  <c r="L18" i="21"/>
  <c r="M18" i="21"/>
  <c r="N18" i="21"/>
  <c r="O18" i="21"/>
  <c r="S18" i="21" s="1"/>
  <c r="P18" i="21"/>
  <c r="T18" i="21" s="1"/>
  <c r="Q18" i="21"/>
  <c r="U18" i="21" s="1"/>
  <c r="R18" i="21"/>
  <c r="V18" i="21" s="1"/>
  <c r="W18" i="21"/>
  <c r="X18" i="21"/>
  <c r="Y18" i="21"/>
  <c r="Z18" i="21"/>
  <c r="AA18" i="21"/>
  <c r="AB18" i="21"/>
  <c r="AC18" i="21"/>
  <c r="AD18" i="21"/>
  <c r="AE18" i="21"/>
  <c r="AF18" i="21"/>
  <c r="AG18" i="21"/>
  <c r="AH18" i="21"/>
  <c r="AI18" i="21"/>
  <c r="AJ18" i="21"/>
  <c r="AK18" i="21"/>
  <c r="AL18" i="21"/>
  <c r="AM18" i="21"/>
  <c r="AN18" i="21"/>
  <c r="AO18" i="21"/>
  <c r="AP18" i="21"/>
  <c r="AQ18" i="21"/>
  <c r="AR18" i="21"/>
  <c r="AS18" i="21"/>
  <c r="AT18" i="21"/>
  <c r="AU18" i="21"/>
  <c r="C18" i="21"/>
  <c r="D18" i="21"/>
  <c r="AQ17" i="21"/>
  <c r="AU17" i="21"/>
  <c r="AT17" i="21"/>
  <c r="AS17" i="21"/>
  <c r="AR17" i="21"/>
  <c r="AP17" i="21"/>
  <c r="AO17" i="21"/>
  <c r="AN17" i="21"/>
  <c r="AM17" i="21"/>
  <c r="AL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R17" i="21"/>
  <c r="V17" i="21" s="1"/>
  <c r="Q17" i="21"/>
  <c r="U17" i="21" s="1"/>
  <c r="P17" i="21"/>
  <c r="T17" i="21" s="1"/>
  <c r="O17" i="21"/>
  <c r="S17" i="21" s="1"/>
  <c r="N17" i="21"/>
  <c r="M17" i="21"/>
  <c r="L17" i="21"/>
  <c r="K17" i="21"/>
  <c r="J17" i="21"/>
  <c r="I17" i="21"/>
  <c r="H17" i="21"/>
  <c r="G17" i="21"/>
  <c r="F17" i="21"/>
  <c r="E17" i="21"/>
  <c r="D17" i="21"/>
  <c r="C17" i="21"/>
  <c r="AU16" i="21"/>
  <c r="AT16" i="21"/>
  <c r="AS16" i="21"/>
  <c r="AR16" i="21"/>
  <c r="AQ16" i="21"/>
  <c r="AP16" i="21"/>
  <c r="AO16" i="21"/>
  <c r="AN16" i="21"/>
  <c r="AM16" i="21"/>
  <c r="AL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R16" i="21"/>
  <c r="V16" i="21" s="1"/>
  <c r="Q16" i="21"/>
  <c r="U16" i="21" s="1"/>
  <c r="P16" i="21"/>
  <c r="T16" i="21" s="1"/>
  <c r="O16" i="21"/>
  <c r="S16" i="21" s="1"/>
  <c r="N16" i="21"/>
  <c r="M16" i="21"/>
  <c r="L16" i="21"/>
  <c r="K16" i="21"/>
  <c r="J16" i="21"/>
  <c r="I16" i="21"/>
  <c r="H16" i="21"/>
  <c r="G16" i="21"/>
  <c r="F16" i="21"/>
  <c r="E16" i="21"/>
  <c r="D16" i="21"/>
  <c r="C16" i="21"/>
  <c r="AU15" i="21"/>
  <c r="AT15" i="21"/>
  <c r="AS15" i="21"/>
  <c r="AR15" i="21"/>
  <c r="AQ15" i="21"/>
  <c r="AP15" i="21"/>
  <c r="AO15" i="21"/>
  <c r="AN15" i="21"/>
  <c r="AM15" i="21"/>
  <c r="AL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R15" i="21"/>
  <c r="V15" i="21" s="1"/>
  <c r="Q15" i="21"/>
  <c r="U15" i="21" s="1"/>
  <c r="P15" i="21"/>
  <c r="T15" i="21"/>
  <c r="O15" i="21"/>
  <c r="S15" i="21" s="1"/>
  <c r="N15" i="21"/>
  <c r="M15" i="21"/>
  <c r="L15" i="21"/>
  <c r="K15" i="21"/>
  <c r="J15" i="21"/>
  <c r="I15" i="21"/>
  <c r="H15" i="21"/>
  <c r="G15" i="21"/>
  <c r="F15" i="21"/>
  <c r="E15" i="21"/>
  <c r="D15" i="21"/>
  <c r="C15" i="21"/>
  <c r="AU14" i="21"/>
  <c r="AT14" i="21"/>
  <c r="AS14" i="21"/>
  <c r="AR14" i="21"/>
  <c r="AQ14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R14" i="21"/>
  <c r="V14" i="21"/>
  <c r="Q14" i="21"/>
  <c r="U14" i="21"/>
  <c r="P14" i="21"/>
  <c r="T14" i="21" s="1"/>
  <c r="O14" i="21"/>
  <c r="S14" i="21" s="1"/>
  <c r="N14" i="21"/>
  <c r="M14" i="21"/>
  <c r="L14" i="21"/>
  <c r="K14" i="21"/>
  <c r="J14" i="21"/>
  <c r="I14" i="21"/>
  <c r="H14" i="21"/>
  <c r="G14" i="21"/>
  <c r="F14" i="21"/>
  <c r="E14" i="21"/>
  <c r="D14" i="21"/>
  <c r="C14" i="21"/>
  <c r="AU13" i="21"/>
  <c r="AT13" i="21"/>
  <c r="AS13" i="21"/>
  <c r="AR13" i="21"/>
  <c r="AQ13" i="21"/>
  <c r="AP13" i="21"/>
  <c r="AO13" i="21"/>
  <c r="AN13" i="21"/>
  <c r="AM13" i="21"/>
  <c r="AL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R13" i="21"/>
  <c r="V13" i="21" s="1"/>
  <c r="Q13" i="21"/>
  <c r="U13" i="21" s="1"/>
  <c r="P13" i="21"/>
  <c r="T13" i="21" s="1"/>
  <c r="O13" i="21"/>
  <c r="S13" i="21" s="1"/>
  <c r="N13" i="21"/>
  <c r="M13" i="21"/>
  <c r="L13" i="21"/>
  <c r="K13" i="21"/>
  <c r="J13" i="21"/>
  <c r="I13" i="21"/>
  <c r="H13" i="21"/>
  <c r="G13" i="21"/>
  <c r="F13" i="21"/>
  <c r="E13" i="21"/>
  <c r="D13" i="21"/>
  <c r="C13" i="21"/>
  <c r="AU12" i="21"/>
  <c r="AT12" i="21"/>
  <c r="AS12" i="21"/>
  <c r="AR12" i="21"/>
  <c r="AQ12" i="21"/>
  <c r="AP12" i="21"/>
  <c r="AO12" i="21"/>
  <c r="AN12" i="21"/>
  <c r="AM12" i="21"/>
  <c r="AL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R12" i="21"/>
  <c r="V12" i="21"/>
  <c r="Q12" i="21"/>
  <c r="U12" i="21" s="1"/>
  <c r="P12" i="21"/>
  <c r="T12" i="21" s="1"/>
  <c r="O12" i="21"/>
  <c r="S12" i="21" s="1"/>
  <c r="N12" i="21"/>
  <c r="M12" i="21"/>
  <c r="L12" i="21"/>
  <c r="K12" i="21"/>
  <c r="J12" i="21"/>
  <c r="I12" i="21"/>
  <c r="H12" i="21"/>
  <c r="G12" i="21"/>
  <c r="F12" i="21"/>
  <c r="E12" i="21"/>
  <c r="D12" i="21"/>
  <c r="C12" i="21"/>
  <c r="AU11" i="21"/>
  <c r="AT11" i="21"/>
  <c r="AS11" i="21"/>
  <c r="AR11" i="21"/>
  <c r="AQ11" i="21"/>
  <c r="AP11" i="21"/>
  <c r="AO11" i="21"/>
  <c r="AN11" i="21"/>
  <c r="AM11" i="21"/>
  <c r="AL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R11" i="21"/>
  <c r="Q11" i="21"/>
  <c r="P11" i="21"/>
  <c r="T11" i="21"/>
  <c r="O11" i="21"/>
  <c r="S11" i="21" s="1"/>
  <c r="N11" i="21"/>
  <c r="M11" i="21"/>
  <c r="L11" i="21"/>
  <c r="K11" i="21"/>
  <c r="J11" i="21"/>
  <c r="I11" i="21"/>
  <c r="H11" i="21"/>
  <c r="G11" i="21"/>
  <c r="F11" i="21"/>
  <c r="E11" i="21"/>
  <c r="D11" i="21"/>
  <c r="C11" i="21"/>
  <c r="AU10" i="21"/>
  <c r="AT10" i="21"/>
  <c r="AS10" i="21"/>
  <c r="AR10" i="21"/>
  <c r="AQ10" i="21"/>
  <c r="AP10" i="21"/>
  <c r="AO10" i="21"/>
  <c r="AN10" i="21"/>
  <c r="AM10" i="21"/>
  <c r="AL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R10" i="21"/>
  <c r="V10" i="21" s="1"/>
  <c r="Q10" i="21"/>
  <c r="U10" i="21" s="1"/>
  <c r="P10" i="21"/>
  <c r="T10" i="21" s="1"/>
  <c r="O10" i="21"/>
  <c r="S10" i="21" s="1"/>
  <c r="N10" i="21"/>
  <c r="M10" i="21"/>
  <c r="L10" i="21"/>
  <c r="K10" i="21"/>
  <c r="J10" i="21"/>
  <c r="I10" i="21"/>
  <c r="H10" i="21"/>
  <c r="G10" i="21"/>
  <c r="F10" i="21"/>
  <c r="E10" i="21"/>
  <c r="D10" i="21"/>
  <c r="C10" i="21"/>
  <c r="AU9" i="21"/>
  <c r="AT9" i="21"/>
  <c r="AS9" i="21"/>
  <c r="AR9" i="21"/>
  <c r="AQ9" i="21"/>
  <c r="AP9" i="21"/>
  <c r="AO9" i="21"/>
  <c r="AN9" i="21"/>
  <c r="AM9" i="21"/>
  <c r="AL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R9" i="21"/>
  <c r="V9" i="21" s="1"/>
  <c r="Q9" i="21"/>
  <c r="U9" i="21" s="1"/>
  <c r="P9" i="21"/>
  <c r="T9" i="21" s="1"/>
  <c r="O9" i="21"/>
  <c r="S9" i="21" s="1"/>
  <c r="N9" i="21"/>
  <c r="M9" i="21"/>
  <c r="L9" i="21"/>
  <c r="K9" i="21"/>
  <c r="J9" i="21"/>
  <c r="I9" i="21"/>
  <c r="H9" i="21"/>
  <c r="G9" i="21"/>
  <c r="F9" i="21"/>
  <c r="E9" i="21"/>
  <c r="D9" i="21"/>
  <c r="C9" i="21"/>
  <c r="AU8" i="21"/>
  <c r="AT8" i="21"/>
  <c r="AS8" i="21"/>
  <c r="AR8" i="21"/>
  <c r="AQ8" i="21"/>
  <c r="AP8" i="21"/>
  <c r="AO8" i="21"/>
  <c r="AN8" i="21"/>
  <c r="AM8" i="21"/>
  <c r="AL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R8" i="21"/>
  <c r="V8" i="21"/>
  <c r="Q8" i="21"/>
  <c r="U8" i="21"/>
  <c r="P8" i="21"/>
  <c r="T8" i="21"/>
  <c r="O8" i="21"/>
  <c r="S8" i="21"/>
  <c r="N8" i="21"/>
  <c r="M8" i="21"/>
  <c r="L8" i="21"/>
  <c r="K8" i="21"/>
  <c r="J8" i="21"/>
  <c r="I8" i="21"/>
  <c r="H8" i="21"/>
  <c r="G8" i="21"/>
  <c r="F8" i="21"/>
  <c r="E8" i="21"/>
  <c r="D8" i="21"/>
  <c r="C8" i="21"/>
  <c r="AU7" i="21"/>
  <c r="AT7" i="21"/>
  <c r="AS7" i="21"/>
  <c r="AR7" i="21"/>
  <c r="AQ7" i="21"/>
  <c r="AP7" i="21"/>
  <c r="AO7" i="21"/>
  <c r="AN7" i="21"/>
  <c r="AM7" i="21"/>
  <c r="AL7" i="2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R7" i="21"/>
  <c r="V7" i="21" s="1"/>
  <c r="Q7" i="21"/>
  <c r="U7" i="21" s="1"/>
  <c r="P7" i="21"/>
  <c r="T7" i="21" s="1"/>
  <c r="O7" i="21"/>
  <c r="S7" i="21" s="1"/>
  <c r="N7" i="21"/>
  <c r="M7" i="21"/>
  <c r="L7" i="21"/>
  <c r="K7" i="21"/>
  <c r="J7" i="21"/>
  <c r="I7" i="21"/>
  <c r="H7" i="21"/>
  <c r="G7" i="21"/>
  <c r="F7" i="21"/>
  <c r="E7" i="21"/>
  <c r="D7" i="21"/>
  <c r="C7" i="21"/>
  <c r="AU6" i="21"/>
  <c r="AT6" i="21"/>
  <c r="AS6" i="21"/>
  <c r="AR6" i="21"/>
  <c r="AQ6" i="21"/>
  <c r="AP6" i="21"/>
  <c r="AO6" i="21"/>
  <c r="AN6" i="21"/>
  <c r="AM6" i="21"/>
  <c r="AL6" i="21"/>
  <c r="AK6" i="21"/>
  <c r="AJ6" i="21"/>
  <c r="AI6" i="21"/>
  <c r="AH6" i="21"/>
  <c r="AG6" i="21"/>
  <c r="AF6" i="21"/>
  <c r="AE6" i="21"/>
  <c r="AD6" i="21"/>
  <c r="AC6" i="21"/>
  <c r="AB6" i="21"/>
  <c r="AA6" i="21"/>
  <c r="Z6" i="21"/>
  <c r="Y6" i="21"/>
  <c r="X6" i="21"/>
  <c r="W6" i="21"/>
  <c r="R6" i="21"/>
  <c r="V6" i="21"/>
  <c r="Q6" i="21"/>
  <c r="U6" i="21" s="1"/>
  <c r="P6" i="21"/>
  <c r="T6" i="21"/>
  <c r="O6" i="21"/>
  <c r="S6" i="21"/>
  <c r="N6" i="21"/>
  <c r="M6" i="21"/>
  <c r="L6" i="21"/>
  <c r="K6" i="21"/>
  <c r="J6" i="21"/>
  <c r="I6" i="21"/>
  <c r="H6" i="21"/>
  <c r="G6" i="21"/>
  <c r="F6" i="21"/>
  <c r="E6" i="21"/>
  <c r="D6" i="21"/>
  <c r="C6" i="21"/>
  <c r="BA8" i="21"/>
  <c r="BB8" i="21" s="1"/>
  <c r="BA9" i="21"/>
  <c r="BA10" i="21"/>
  <c r="BA11" i="21"/>
  <c r="BA12" i="21"/>
  <c r="BA13" i="21"/>
  <c r="BB13" i="21" s="1"/>
  <c r="BA14" i="21"/>
  <c r="BA15" i="21"/>
  <c r="BA7" i="21"/>
  <c r="BB7" i="21" s="1"/>
  <c r="AZ8" i="21"/>
  <c r="AZ9" i="21"/>
  <c r="BB9" i="21" s="1"/>
  <c r="AZ10" i="21"/>
  <c r="BB10" i="21" s="1"/>
  <c r="AZ11" i="21"/>
  <c r="AZ12" i="21"/>
  <c r="AZ13" i="21"/>
  <c r="AZ14" i="21"/>
  <c r="AZ15" i="21"/>
  <c r="AZ16" i="21" s="1"/>
  <c r="AZ7" i="21"/>
  <c r="F96" i="40"/>
  <c r="G93" i="40" s="1"/>
  <c r="G94" i="40" s="1"/>
  <c r="G95" i="40" s="1"/>
  <c r="G90" i="40"/>
  <c r="G91" i="40"/>
  <c r="G92" i="40"/>
  <c r="D89" i="40"/>
  <c r="K82" i="40"/>
  <c r="F51" i="40"/>
  <c r="E51" i="40"/>
  <c r="G49" i="40"/>
  <c r="F49" i="40"/>
  <c r="E49" i="40"/>
  <c r="D49" i="40"/>
  <c r="J47" i="40"/>
  <c r="I44" i="40"/>
  <c r="E42" i="40"/>
  <c r="C44" i="40" s="1"/>
  <c r="C31" i="40"/>
  <c r="C32" i="40" s="1"/>
  <c r="K31" i="40"/>
  <c r="G32" i="40"/>
  <c r="G34" i="40" s="1"/>
  <c r="I33" i="40"/>
  <c r="I34" i="40"/>
  <c r="I35" i="40"/>
  <c r="E36" i="40"/>
  <c r="G38" i="40"/>
  <c r="G36" i="40"/>
  <c r="I39" i="40"/>
  <c r="I37" i="40" s="1"/>
  <c r="I36" i="40" s="1"/>
  <c r="E28" i="40"/>
  <c r="D15" i="40"/>
  <c r="D22" i="40" s="1"/>
  <c r="D20" i="40"/>
  <c r="D4" i="40"/>
  <c r="F4" i="40" s="1"/>
  <c r="D10" i="40"/>
  <c r="AV3" i="21"/>
  <c r="D42" i="40"/>
  <c r="B44" i="40"/>
  <c r="BB14" i="21" l="1"/>
  <c r="BB15" i="21"/>
  <c r="BB12" i="21"/>
  <c r="BB11" i="21"/>
  <c r="K34" i="40"/>
  <c r="K35" i="40"/>
  <c r="K32" i="40"/>
  <c r="K36" i="40"/>
  <c r="K39" i="40"/>
  <c r="K33" i="40"/>
  <c r="K37" i="40"/>
  <c r="I38" i="40"/>
  <c r="K38" i="40" s="1"/>
  <c r="D21" i="40"/>
  <c r="D23" i="40" s="1"/>
  <c r="F3" i="40"/>
  <c r="K40" i="40" l="1"/>
  <c r="L31" i="40" s="1"/>
  <c r="AW7" i="21"/>
  <c r="AV5" i="21"/>
  <c r="AW3" i="21" s="1"/>
  <c r="L32" i="40" l="1"/>
  <c r="L33" i="40" s="1"/>
  <c r="L34" i="40" s="1"/>
  <c r="L35" i="40" s="1"/>
  <c r="L36" i="40" s="1"/>
  <c r="L37" i="40" s="1"/>
  <c r="L38" i="40" s="1"/>
  <c r="L39" i="40" s="1"/>
</calcChain>
</file>

<file path=xl/sharedStrings.xml><?xml version="1.0" encoding="utf-8"?>
<sst xmlns="http://schemas.openxmlformats.org/spreadsheetml/2006/main" count="381" uniqueCount="193">
  <si>
    <t>e</t>
  </si>
  <si>
    <t>f</t>
  </si>
  <si>
    <t>d</t>
  </si>
  <si>
    <t>Estimate</t>
  </si>
  <si>
    <t>MPD</t>
  </si>
  <si>
    <t>q</t>
  </si>
  <si>
    <t>Parameter</t>
  </si>
  <si>
    <t>g</t>
  </si>
  <si>
    <t>k</t>
  </si>
  <si>
    <t>Omega</t>
  </si>
  <si>
    <t>YMB</t>
  </si>
  <si>
    <t>Total</t>
  </si>
  <si>
    <t>v</t>
  </si>
  <si>
    <t>Layer house</t>
  </si>
  <si>
    <t>Time</t>
  </si>
  <si>
    <t>Temp</t>
  </si>
  <si>
    <t>Transportation</t>
  </si>
  <si>
    <t>Fraction</t>
  </si>
  <si>
    <t>b</t>
  </si>
  <si>
    <t>tmax</t>
  </si>
  <si>
    <t>vpos</t>
  </si>
  <si>
    <t>SD</t>
  </si>
  <si>
    <t>Input</t>
  </si>
  <si>
    <t>Determining initial levels</t>
  </si>
  <si>
    <t>Yolk growth</t>
  </si>
  <si>
    <t>Albumen growth</t>
  </si>
  <si>
    <t>Time interval f(day)</t>
  </si>
  <si>
    <t>Model parameters</t>
  </si>
  <si>
    <t>Iterations</t>
  </si>
  <si>
    <t>Yolk</t>
  </si>
  <si>
    <t>VM</t>
  </si>
  <si>
    <t>Albumen</t>
  </si>
  <si>
    <t>Close</t>
  </si>
  <si>
    <t>Far</t>
  </si>
  <si>
    <t>Alb C G</t>
  </si>
  <si>
    <t>Alb F G</t>
  </si>
  <si>
    <t>a</t>
  </si>
  <si>
    <t>alpha</t>
  </si>
  <si>
    <t>beta</t>
  </si>
  <si>
    <t>amb T</t>
  </si>
  <si>
    <t>ln b</t>
  </si>
  <si>
    <t>ln -a</t>
  </si>
  <si>
    <t>Pasteurization parameters</t>
  </si>
  <si>
    <t>Log Reduction</t>
  </si>
  <si>
    <t>Past Int (m)</t>
  </si>
  <si>
    <t>Home Store</t>
  </si>
  <si>
    <t>Whiting</t>
  </si>
  <si>
    <t>Days</t>
  </si>
  <si>
    <t>Egg Temp</t>
  </si>
  <si>
    <t>Bacteria</t>
  </si>
  <si>
    <t>5th</t>
  </si>
  <si>
    <t>95th</t>
  </si>
  <si>
    <t>Retail Storage</t>
  </si>
  <si>
    <t>Retail Transportation</t>
  </si>
  <si>
    <t>Postprocessing Storage</t>
  </si>
  <si>
    <t>Pasteurization</t>
  </si>
  <si>
    <t>Preprocessing Storage</t>
  </si>
  <si>
    <t>On Farm Storage</t>
  </si>
  <si>
    <t>Home Transportation</t>
  </si>
  <si>
    <t>Random seed</t>
  </si>
  <si>
    <t>Cumul</t>
  </si>
  <si>
    <t>F inline processed</t>
  </si>
  <si>
    <t>F consumed away</t>
  </si>
  <si>
    <t>Median</t>
  </si>
  <si>
    <t>Mean</t>
  </si>
  <si>
    <t>Sd</t>
  </si>
  <si>
    <t>lag/growth</t>
  </si>
  <si>
    <t>Min</t>
  </si>
  <si>
    <t>Max</t>
  </si>
  <si>
    <t>1st</t>
  </si>
  <si>
    <t>10th</t>
  </si>
  <si>
    <t>25th</t>
  </si>
  <si>
    <t>75th</t>
  </si>
  <si>
    <t>90th</t>
  </si>
  <si>
    <t>Time run began</t>
  </si>
  <si>
    <t>Time run ended</t>
  </si>
  <si>
    <t>Run time</t>
  </si>
  <si>
    <t>Lag method</t>
  </si>
  <si>
    <t>ResetLag</t>
  </si>
  <si>
    <t>AccumulateLag</t>
  </si>
  <si>
    <t>Initial egg temp (F)</t>
  </si>
  <si>
    <t>List of available k values and meaning</t>
  </si>
  <si>
    <t>k value</t>
  </si>
  <si>
    <t>Meaning</t>
  </si>
  <si>
    <t>Water bath</t>
  </si>
  <si>
    <t>pallet</t>
  </si>
  <si>
    <t>case</t>
  </si>
  <si>
    <t>Adjust</t>
  </si>
  <si>
    <t>Egg exposed to ambient air or carton in home refrigerator</t>
  </si>
  <si>
    <t>Stacks of cartons or flats within or without a case</t>
  </si>
  <si>
    <t>Cases within a pallet</t>
  </si>
  <si>
    <t>Model stochastic growth</t>
  </si>
  <si>
    <t>Menu Messages</t>
  </si>
  <si>
    <t>Shell</t>
  </si>
  <si>
    <t>Internal</t>
  </si>
  <si>
    <t>Growth</t>
  </si>
  <si>
    <t>No Growth</t>
  </si>
  <si>
    <t>Low value</t>
  </si>
  <si>
    <t>High value</t>
  </si>
  <si>
    <t>VM or Yolk</t>
  </si>
  <si>
    <t>Alb C N</t>
  </si>
  <si>
    <t>Alb F N</t>
  </si>
  <si>
    <t>VM Low</t>
  </si>
  <si>
    <t>VM High</t>
  </si>
  <si>
    <t>Yolk Low</t>
  </si>
  <si>
    <t>Yolk High</t>
  </si>
  <si>
    <t>Type</t>
  </si>
  <si>
    <t>Egg Type</t>
  </si>
  <si>
    <t>Determining Fractions of different egg types</t>
  </si>
  <si>
    <t>Number</t>
  </si>
  <si>
    <t>St dev</t>
  </si>
  <si>
    <t>Yolk and VM (low)</t>
  </si>
  <si>
    <t>Total Bacteria</t>
  </si>
  <si>
    <t>Bacteria per Egg</t>
  </si>
  <si>
    <t>Bacteria per egg by egg type</t>
  </si>
  <si>
    <t>Std Dev</t>
  </si>
  <si>
    <t>Layerhouse</t>
  </si>
  <si>
    <t>no</t>
  </si>
  <si>
    <t>OnFarm</t>
  </si>
  <si>
    <t>yes</t>
  </si>
  <si>
    <t>TransportationFromFarm</t>
  </si>
  <si>
    <t>PreProcessingOffLine</t>
  </si>
  <si>
    <t>PreProcessingInLine</t>
  </si>
  <si>
    <t>PostProcessing</t>
  </si>
  <si>
    <t>RetailTransportation</t>
  </si>
  <si>
    <t>RetailStorage</t>
  </si>
  <si>
    <t>HomeTransportation</t>
  </si>
  <si>
    <t>HomeStorage</t>
  </si>
  <si>
    <t>Data based</t>
  </si>
  <si>
    <t>Cooking</t>
  </si>
  <si>
    <t>Initial bacteria</t>
  </si>
  <si>
    <t>Dose reponse parameters</t>
  </si>
  <si>
    <t>Alpha</t>
  </si>
  <si>
    <t>Beta</t>
  </si>
  <si>
    <t>Servings per egg</t>
  </si>
  <si>
    <t>Servings</t>
  </si>
  <si>
    <t>p(illness)</t>
  </si>
  <si>
    <t>Log normal distribution</t>
  </si>
  <si>
    <t>Distribution</t>
  </si>
  <si>
    <t>Log normal</t>
  </si>
  <si>
    <t>Discrete</t>
  </si>
  <si>
    <t>K-values</t>
  </si>
  <si>
    <t>Layerhouse - off line</t>
  </si>
  <si>
    <t>Layerhouse - in line</t>
  </si>
  <si>
    <t>K-values and associated cumul fraction</t>
  </si>
  <si>
    <t>Parameters Time, Temperature, and K-values</t>
  </si>
  <si>
    <t>Parameters for K-values</t>
  </si>
  <si>
    <t>Type of serving</t>
  </si>
  <si>
    <t>Log reduction</t>
  </si>
  <si>
    <t>Eggs</t>
  </si>
  <si>
    <t>Beverages</t>
  </si>
  <si>
    <t>Mixtures</t>
  </si>
  <si>
    <t>Soft boiled and poached</t>
  </si>
  <si>
    <t>Sunny side up</t>
  </si>
  <si>
    <t>Scrambled and omelettes</t>
  </si>
  <si>
    <t>Over easy</t>
  </si>
  <si>
    <t>Hard boiled</t>
  </si>
  <si>
    <t>AF</t>
  </si>
  <si>
    <t>Fractions for different types of cooking and associated log reductions (Discrete)</t>
  </si>
  <si>
    <t>Growth Parameter estimates</t>
  </si>
  <si>
    <t>Prob of 0</t>
  </si>
  <si>
    <t>Poisson</t>
  </si>
  <si>
    <t>p(Flock infected)</t>
  </si>
  <si>
    <t>p(Hen is infected |  flock is infected)</t>
  </si>
  <si>
    <t>p(Flock is not molted)</t>
  </si>
  <si>
    <t>p(Egg contaminated | hen infected, not molted)</t>
  </si>
  <si>
    <t>p(Flock is molted)</t>
  </si>
  <si>
    <t>p(Egg contaminated | hen infected, molted)</t>
  </si>
  <si>
    <t>molting multiplier</t>
  </si>
  <si>
    <t>p(egg contaminated)</t>
  </si>
  <si>
    <t>Fraction of eggs that are contaminated</t>
  </si>
  <si>
    <t>F sero+</t>
  </si>
  <si>
    <t>Additional fractions for processing and consumption</t>
  </si>
  <si>
    <t>Parameter estimates - growth</t>
  </si>
  <si>
    <t>StdErr</t>
  </si>
  <si>
    <t>Correlation Matrix</t>
  </si>
  <si>
    <t>Parameter estimates - ymb</t>
  </si>
  <si>
    <t>Stand Error</t>
  </si>
  <si>
    <t>Results</t>
  </si>
  <si>
    <t>(Leave this row intact - top 2 rows should remain empty)</t>
  </si>
  <si>
    <t>Probability of illness</t>
  </si>
  <si>
    <t>Multiplier for G2 growth rate after pasteurization</t>
  </si>
  <si>
    <t>Uniform</t>
  </si>
  <si>
    <t>99th</t>
  </si>
  <si>
    <t>FSIS Baseline</t>
  </si>
  <si>
    <t>Layer house Temperature (F)</t>
  </si>
  <si>
    <t>On Farm Temperature (F)</t>
  </si>
  <si>
    <t>Egg rule</t>
  </si>
  <si>
    <t>Layer house Time (days)</t>
  </si>
  <si>
    <t>On Farm Time (days)</t>
  </si>
  <si>
    <t>45 F</t>
  </si>
  <si>
    <t>5 days (example)</t>
  </si>
  <si>
    <t>65F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</si>
</sst>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0_);_(* \(#,##0.000000\);_(* &quot;-&quot;??_);_(@_)"/>
    <numFmt numFmtId="172" formatCode="0.0%"/>
    <numFmt numFmtId="173" formatCode="0.000%"/>
    <numFmt numFmtId="174" formatCode="_(* #,##0.0&quot; C&quot;_);_(* \(#,##0.0&quot; C&quot;\);_(* &quot;-&quot;??_);_(@_)"/>
    <numFmt numFmtId="175" formatCode="_(* #,##0.0&quot; F&quot;_);_(* \(#,##0.0&quot; F&quot;\);_(* &quot;-&quot;??_);_(@_)"/>
    <numFmt numFmtId="176" formatCode="#,##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0"/>
      <color theme="0"/>
      <name val="Arial"/>
      <family val="2"/>
    </font>
    <font>
      <b/>
      <sz val="18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lightDown">
        <f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darkDown">
        <fgColor indexed="8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43" fontId="0" fillId="0" borderId="0" xfId="1" applyNumberFormat="1" applyFont="1"/>
    <xf numFmtId="47" fontId="0" fillId="0" borderId="0" xfId="0" applyNumberFormat="1"/>
    <xf numFmtId="43" fontId="0" fillId="0" borderId="0" xfId="1" applyFont="1"/>
    <xf numFmtId="168" fontId="0" fillId="0" borderId="0" xfId="1" applyNumberFormat="1" applyFont="1"/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4" xfId="0" applyFill="1" applyBorder="1"/>
    <xf numFmtId="0" fontId="5" fillId="0" borderId="5" xfId="0" applyFont="1" applyBorder="1" applyAlignment="1">
      <alignment horizontal="center"/>
    </xf>
    <xf numFmtId="0" fontId="0" fillId="2" borderId="7" xfId="0" applyFill="1" applyBorder="1"/>
    <xf numFmtId="172" fontId="0" fillId="0" borderId="0" xfId="2" applyNumberFormat="1" applyFont="1"/>
    <xf numFmtId="43" fontId="2" fillId="0" borderId="8" xfId="1" applyFont="1" applyBorder="1" applyAlignment="1">
      <alignment horizontal="center"/>
    </xf>
    <xf numFmtId="172" fontId="2" fillId="0" borderId="8" xfId="2" applyNumberFormat="1" applyFont="1" applyBorder="1" applyAlignment="1">
      <alignment horizontal="center"/>
    </xf>
    <xf numFmtId="168" fontId="2" fillId="0" borderId="8" xfId="1" applyNumberFormat="1" applyFont="1" applyBorder="1" applyAlignment="1">
      <alignment horizontal="center"/>
    </xf>
    <xf numFmtId="43" fontId="2" fillId="0" borderId="5" xfId="1" applyFont="1" applyBorder="1"/>
    <xf numFmtId="172" fontId="2" fillId="0" borderId="5" xfId="2" applyNumberFormat="1" applyFont="1" applyBorder="1"/>
    <xf numFmtId="168" fontId="2" fillId="0" borderId="5" xfId="1" applyNumberFormat="1" applyFont="1" applyBorder="1"/>
    <xf numFmtId="168" fontId="2" fillId="0" borderId="5" xfId="1" applyNumberFormat="1" applyFont="1" applyBorder="1" applyAlignment="1">
      <alignment horizontal="left"/>
    </xf>
    <xf numFmtId="168" fontId="2" fillId="0" borderId="8" xfId="1" applyNumberFormat="1" applyFont="1" applyBorder="1" applyAlignment="1">
      <alignment horizontal="left"/>
    </xf>
    <xf numFmtId="0" fontId="0" fillId="2" borderId="9" xfId="0" applyFill="1" applyBorder="1"/>
    <xf numFmtId="168" fontId="2" fillId="0" borderId="5" xfId="1" applyNumberFormat="1" applyFont="1" applyBorder="1" applyAlignment="1">
      <alignment horizontal="center"/>
    </xf>
    <xf numFmtId="43" fontId="0" fillId="0" borderId="0" xfId="0" applyNumberFormat="1"/>
    <xf numFmtId="0" fontId="0" fillId="2" borderId="11" xfId="0" applyFill="1" applyBorder="1"/>
    <xf numFmtId="167" fontId="0" fillId="2" borderId="9" xfId="0" applyNumberFormat="1" applyFill="1" applyBorder="1"/>
    <xf numFmtId="0" fontId="0" fillId="4" borderId="5" xfId="0" applyFill="1" applyBorder="1"/>
    <xf numFmtId="0" fontId="5" fillId="4" borderId="5" xfId="0" applyFont="1" applyFill="1" applyBorder="1"/>
    <xf numFmtId="0" fontId="4" fillId="5" borderId="12" xfId="0" applyFont="1" applyFill="1" applyBorder="1"/>
    <xf numFmtId="0" fontId="2" fillId="6" borderId="5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5" fillId="4" borderId="8" xfId="0" applyFont="1" applyFill="1" applyBorder="1"/>
    <xf numFmtId="0" fontId="0" fillId="5" borderId="13" xfId="0" applyFill="1" applyBorder="1"/>
    <xf numFmtId="0" fontId="0" fillId="5" borderId="14" xfId="0" applyFill="1" applyBorder="1"/>
    <xf numFmtId="167" fontId="0" fillId="0" borderId="0" xfId="0" applyNumberFormat="1"/>
    <xf numFmtId="43" fontId="2" fillId="0" borderId="8" xfId="1" applyNumberFormat="1" applyFont="1" applyBorder="1" applyAlignment="1">
      <alignment horizontal="center"/>
    </xf>
    <xf numFmtId="0" fontId="0" fillId="2" borderId="10" xfId="0" applyFill="1" applyBorder="1"/>
    <xf numFmtId="174" fontId="2" fillId="0" borderId="5" xfId="1" applyNumberFormat="1" applyFont="1" applyBorder="1"/>
    <xf numFmtId="0" fontId="0" fillId="7" borderId="0" xfId="0" applyFill="1" applyProtection="1">
      <protection hidden="1"/>
    </xf>
    <xf numFmtId="0" fontId="0" fillId="7" borderId="0" xfId="0" applyFill="1"/>
    <xf numFmtId="0" fontId="2" fillId="6" borderId="15" xfId="0" applyFon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2" fillId="6" borderId="4" xfId="0" applyFont="1" applyFill="1" applyBorder="1" applyAlignment="1">
      <alignment horizontal="center"/>
    </xf>
    <xf numFmtId="0" fontId="0" fillId="0" borderId="5" xfId="0" applyFill="1" applyBorder="1"/>
    <xf numFmtId="168" fontId="0" fillId="0" borderId="5" xfId="1" applyNumberFormat="1" applyFont="1" applyFill="1" applyBorder="1"/>
    <xf numFmtId="0" fontId="0" fillId="0" borderId="5" xfId="0" applyBorder="1"/>
    <xf numFmtId="168" fontId="0" fillId="0" borderId="12" xfId="0" applyNumberFormat="1" applyBorder="1"/>
    <xf numFmtId="168" fontId="0" fillId="0" borderId="8" xfId="1" applyNumberFormat="1" applyFont="1" applyFill="1" applyBorder="1"/>
    <xf numFmtId="0" fontId="2" fillId="0" borderId="5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4" fillId="0" borderId="12" xfId="0" applyFont="1" applyBorder="1"/>
    <xf numFmtId="168" fontId="2" fillId="0" borderId="12" xfId="1" applyNumberFormat="1" applyFont="1" applyBorder="1" applyAlignment="1">
      <alignment horizontal="centerContinuous" vertical="center"/>
    </xf>
    <xf numFmtId="168" fontId="2" fillId="0" borderId="13" xfId="1" applyNumberFormat="1" applyFont="1" applyBorder="1" applyAlignment="1">
      <alignment horizontal="centerContinuous" vertical="center"/>
    </xf>
    <xf numFmtId="168" fontId="2" fillId="0" borderId="14" xfId="1" applyNumberFormat="1" applyFont="1" applyBorder="1" applyAlignment="1">
      <alignment horizontal="centerContinuous" vertical="center"/>
    </xf>
    <xf numFmtId="0" fontId="4" fillId="5" borderId="13" xfId="0" applyFont="1" applyFill="1" applyBorder="1"/>
    <xf numFmtId="0" fontId="4" fillId="5" borderId="14" xfId="0" applyFont="1" applyFill="1" applyBorder="1"/>
    <xf numFmtId="0" fontId="0" fillId="2" borderId="5" xfId="0" applyFill="1" applyBorder="1"/>
    <xf numFmtId="0" fontId="2" fillId="6" borderId="5" xfId="0" applyFont="1" applyFill="1" applyBorder="1"/>
    <xf numFmtId="169" fontId="0" fillId="0" borderId="0" xfId="0" applyNumberFormat="1"/>
    <xf numFmtId="43" fontId="2" fillId="0" borderId="5" xfId="1" applyNumberFormat="1" applyFont="1" applyBorder="1"/>
    <xf numFmtId="43" fontId="2" fillId="0" borderId="5" xfId="1" applyNumberFormat="1" applyFont="1" applyBorder="1" applyAlignment="1">
      <alignment horizontal="left"/>
    </xf>
    <xf numFmtId="0" fontId="0" fillId="2" borderId="8" xfId="0" applyFill="1" applyBorder="1"/>
    <xf numFmtId="0" fontId="5" fillId="4" borderId="14" xfId="0" applyFont="1" applyFill="1" applyBorder="1"/>
    <xf numFmtId="0" fontId="0" fillId="4" borderId="5" xfId="0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6" borderId="7" xfId="0" applyFont="1" applyFill="1" applyBorder="1"/>
    <xf numFmtId="0" fontId="5" fillId="5" borderId="12" xfId="0" applyFont="1" applyFill="1" applyBorder="1"/>
    <xf numFmtId="0" fontId="0" fillId="5" borderId="14" xfId="0" applyFill="1" applyBorder="1" applyAlignment="1">
      <alignment horizontal="center"/>
    </xf>
    <xf numFmtId="0" fontId="2" fillId="6" borderId="14" xfId="0" applyFont="1" applyFill="1" applyBorder="1"/>
    <xf numFmtId="0" fontId="5" fillId="4" borderId="4" xfId="0" applyFont="1" applyFill="1" applyBorder="1"/>
    <xf numFmtId="0" fontId="5" fillId="4" borderId="13" xfId="0" applyFont="1" applyFill="1" applyBorder="1"/>
    <xf numFmtId="0" fontId="5" fillId="4" borderId="9" xfId="0" applyFont="1" applyFill="1" applyBorder="1"/>
    <xf numFmtId="0" fontId="2" fillId="2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 vertical="center"/>
    </xf>
    <xf numFmtId="0" fontId="0" fillId="0" borderId="15" xfId="0" applyFill="1" applyBorder="1"/>
    <xf numFmtId="0" fontId="0" fillId="0" borderId="7" xfId="0" applyFill="1" applyBorder="1"/>
    <xf numFmtId="165" fontId="0" fillId="0" borderId="5" xfId="0" applyNumberFormat="1" applyFill="1" applyBorder="1" applyAlignment="1">
      <alignment horizontal="center"/>
    </xf>
    <xf numFmtId="43" fontId="5" fillId="8" borderId="5" xfId="0" applyNumberFormat="1" applyFont="1" applyFill="1" applyBorder="1"/>
    <xf numFmtId="43" fontId="2" fillId="8" borderId="5" xfId="1" applyFont="1" applyFill="1" applyBorder="1"/>
    <xf numFmtId="43" fontId="2" fillId="8" borderId="5" xfId="0" applyNumberFormat="1" applyFont="1" applyFill="1" applyBorder="1"/>
    <xf numFmtId="43" fontId="5" fillId="8" borderId="8" xfId="0" applyNumberFormat="1" applyFont="1" applyFill="1" applyBorder="1"/>
    <xf numFmtId="0" fontId="5" fillId="0" borderId="8" xfId="0" applyFont="1" applyBorder="1"/>
    <xf numFmtId="0" fontId="3" fillId="0" borderId="8" xfId="0" applyFont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5" fillId="0" borderId="7" xfId="0" applyFont="1" applyBorder="1"/>
    <xf numFmtId="0" fontId="3" fillId="0" borderId="7" xfId="0" applyFont="1" applyBorder="1"/>
    <xf numFmtId="0" fontId="5" fillId="0" borderId="5" xfId="0" applyFont="1" applyBorder="1"/>
    <xf numFmtId="0" fontId="3" fillId="0" borderId="5" xfId="0" applyFont="1" applyBorder="1"/>
    <xf numFmtId="0" fontId="0" fillId="0" borderId="7" xfId="0" applyBorder="1"/>
    <xf numFmtId="0" fontId="5" fillId="2" borderId="12" xfId="0" applyFont="1" applyFill="1" applyBorder="1"/>
    <xf numFmtId="165" fontId="0" fillId="0" borderId="5" xfId="0" applyNumberFormat="1" applyBorder="1"/>
    <xf numFmtId="173" fontId="2" fillId="0" borderId="5" xfId="2" applyNumberFormat="1" applyFont="1" applyBorder="1"/>
    <xf numFmtId="0" fontId="5" fillId="4" borderId="14" xfId="0" applyFont="1" applyFill="1" applyBorder="1" applyAlignment="1">
      <alignment horizontal="center"/>
    </xf>
    <xf numFmtId="11" fontId="0" fillId="0" borderId="0" xfId="0" applyNumberFormat="1"/>
    <xf numFmtId="46" fontId="0" fillId="0" borderId="0" xfId="0" applyNumberFormat="1"/>
    <xf numFmtId="11" fontId="0" fillId="0" borderId="5" xfId="1" applyNumberFormat="1" applyFont="1" applyBorder="1"/>
    <xf numFmtId="0" fontId="0" fillId="2" borderId="15" xfId="0" applyFill="1" applyBorder="1"/>
    <xf numFmtId="0" fontId="0" fillId="0" borderId="0" xfId="0" applyBorder="1"/>
    <xf numFmtId="0" fontId="2" fillId="6" borderId="11" xfId="0" applyFont="1" applyFill="1" applyBorder="1" applyAlignment="1">
      <alignment horizontal="center"/>
    </xf>
    <xf numFmtId="2" fontId="0" fillId="0" borderId="5" xfId="0" applyNumberFormat="1" applyFill="1" applyBorder="1"/>
    <xf numFmtId="43" fontId="3" fillId="0" borderId="5" xfId="1" applyFont="1" applyFill="1" applyBorder="1"/>
    <xf numFmtId="2" fontId="2" fillId="0" borderId="5" xfId="0" applyNumberFormat="1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right"/>
    </xf>
    <xf numFmtId="167" fontId="0" fillId="0" borderId="5" xfId="0" applyNumberFormat="1" applyFill="1" applyBorder="1"/>
    <xf numFmtId="0" fontId="0" fillId="0" borderId="12" xfId="0" applyFill="1" applyBorder="1"/>
    <xf numFmtId="164" fontId="0" fillId="0" borderId="5" xfId="0" applyNumberFormat="1" applyFill="1" applyBorder="1"/>
    <xf numFmtId="172" fontId="1" fillId="0" borderId="5" xfId="2" applyNumberFormat="1" applyFill="1" applyBorder="1"/>
    <xf numFmtId="3" fontId="0" fillId="0" borderId="0" xfId="0" applyNumberFormat="1"/>
    <xf numFmtId="176" fontId="0" fillId="0" borderId="0" xfId="0" applyNumberFormat="1"/>
    <xf numFmtId="3" fontId="0" fillId="0" borderId="0" xfId="2" applyNumberFormat="1" applyFont="1"/>
    <xf numFmtId="3" fontId="0" fillId="0" borderId="0" xfId="1" applyNumberFormat="1" applyFont="1"/>
    <xf numFmtId="39" fontId="0" fillId="0" borderId="0" xfId="1" applyNumberFormat="1" applyFont="1"/>
    <xf numFmtId="0" fontId="1" fillId="0" borderId="0" xfId="0" applyFont="1"/>
    <xf numFmtId="0" fontId="0" fillId="0" borderId="5" xfId="0" applyFill="1" applyBorder="1"/>
    <xf numFmtId="0" fontId="0" fillId="0" borderId="8" xfId="0" applyFill="1" applyBorder="1"/>
    <xf numFmtId="0" fontId="0" fillId="0" borderId="7" xfId="0" applyFill="1" applyBorder="1"/>
    <xf numFmtId="0" fontId="0" fillId="0" borderId="0" xfId="0" applyFill="1"/>
    <xf numFmtId="43" fontId="4" fillId="11" borderId="5" xfId="0" applyNumberFormat="1" applyFont="1" applyFill="1" applyBorder="1"/>
    <xf numFmtId="171" fontId="3" fillId="0" borderId="5" xfId="1" applyNumberFormat="1" applyFont="1" applyFill="1" applyBorder="1"/>
    <xf numFmtId="175" fontId="3" fillId="0" borderId="5" xfId="1" applyNumberFormat="1" applyFont="1" applyFill="1" applyBorder="1"/>
    <xf numFmtId="168" fontId="3" fillId="0" borderId="5" xfId="1" applyNumberFormat="1" applyFont="1" applyFill="1" applyBorder="1" applyAlignment="1">
      <alignment horizontal="center"/>
    </xf>
    <xf numFmtId="9" fontId="0" fillId="0" borderId="5" xfId="2" applyFont="1" applyFill="1" applyBorder="1" applyAlignment="1">
      <alignment horizontal="center"/>
    </xf>
    <xf numFmtId="10" fontId="0" fillId="0" borderId="5" xfId="2" applyNumberFormat="1" applyFont="1" applyFill="1" applyBorder="1" applyAlignment="1">
      <alignment horizontal="center"/>
    </xf>
    <xf numFmtId="173" fontId="0" fillId="0" borderId="5" xfId="2" applyNumberFormat="1" applyFont="1" applyFill="1" applyBorder="1" applyAlignment="1">
      <alignment horizontal="center"/>
    </xf>
    <xf numFmtId="2" fontId="0" fillId="0" borderId="12" xfId="0" applyNumberFormat="1" applyFill="1" applyBorder="1"/>
    <xf numFmtId="165" fontId="0" fillId="0" borderId="7" xfId="0" applyNumberFormat="1" applyFill="1" applyBorder="1"/>
    <xf numFmtId="165" fontId="0" fillId="0" borderId="5" xfId="0" applyNumberFormat="1" applyFill="1" applyBorder="1"/>
    <xf numFmtId="167" fontId="0" fillId="0" borderId="8" xfId="0" applyNumberFormat="1" applyFill="1" applyBorder="1"/>
    <xf numFmtId="174" fontId="0" fillId="0" borderId="8" xfId="0" applyNumberFormat="1" applyFill="1" applyBorder="1"/>
    <xf numFmtId="1" fontId="0" fillId="0" borderId="8" xfId="0" applyNumberFormat="1" applyFill="1" applyBorder="1"/>
    <xf numFmtId="167" fontId="3" fillId="0" borderId="8" xfId="1" applyNumberFormat="1" applyFont="1" applyFill="1" applyBorder="1" applyAlignment="1">
      <alignment horizontal="right"/>
    </xf>
    <xf numFmtId="2" fontId="0" fillId="0" borderId="5" xfId="0" applyNumberFormat="1" applyFill="1" applyBorder="1" applyAlignment="1">
      <alignment horizontal="right"/>
    </xf>
    <xf numFmtId="9" fontId="1" fillId="0" borderId="5" xfId="2" applyFill="1" applyBorder="1"/>
    <xf numFmtId="166" fontId="0" fillId="0" borderId="5" xfId="0" applyNumberFormat="1" applyFill="1" applyBorder="1"/>
    <xf numFmtId="167" fontId="0" fillId="0" borderId="7" xfId="0" applyNumberFormat="1" applyFill="1" applyBorder="1"/>
    <xf numFmtId="2" fontId="0" fillId="0" borderId="7" xfId="0" applyNumberFormat="1" applyFill="1" applyBorder="1"/>
    <xf numFmtId="19" fontId="0" fillId="0" borderId="5" xfId="0" applyNumberFormat="1" applyFill="1" applyBorder="1"/>
    <xf numFmtId="46" fontId="0" fillId="0" borderId="5" xfId="0" applyNumberFormat="1" applyFill="1" applyBorder="1"/>
    <xf numFmtId="43" fontId="0" fillId="0" borderId="5" xfId="1" applyFont="1" applyFill="1" applyBorder="1" applyAlignment="1">
      <alignment horizontal="center"/>
    </xf>
    <xf numFmtId="0" fontId="2" fillId="11" borderId="5" xfId="0" applyNumberFormat="1" applyFont="1" applyFill="1" applyBorder="1"/>
    <xf numFmtId="0" fontId="2" fillId="11" borderId="0" xfId="0" applyNumberFormat="1" applyFont="1" applyFill="1"/>
    <xf numFmtId="170" fontId="2" fillId="11" borderId="5" xfId="0" applyNumberFormat="1" applyFont="1" applyFill="1" applyBorder="1"/>
    <xf numFmtId="170" fontId="4" fillId="11" borderId="5" xfId="0" applyNumberFormat="1" applyFont="1" applyFill="1" applyBorder="1"/>
    <xf numFmtId="168" fontId="6" fillId="10" borderId="5" xfId="1" applyNumberFormat="1" applyFont="1" applyFill="1" applyBorder="1"/>
    <xf numFmtId="168" fontId="6" fillId="0" borderId="10" xfId="1" applyNumberFormat="1" applyFont="1" applyFill="1" applyBorder="1"/>
    <xf numFmtId="2" fontId="7" fillId="0" borderId="5" xfId="0" applyNumberFormat="1" applyFont="1" applyFill="1" applyBorder="1"/>
    <xf numFmtId="167" fontId="8" fillId="0" borderId="5" xfId="0" applyNumberFormat="1" applyFont="1" applyFill="1" applyBorder="1"/>
    <xf numFmtId="0" fontId="7" fillId="0" borderId="0" xfId="0" applyFont="1"/>
    <xf numFmtId="2" fontId="8" fillId="0" borderId="5" xfId="0" applyNumberFormat="1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170" fontId="8" fillId="0" borderId="5" xfId="0" applyNumberFormat="1" applyFont="1" applyFill="1" applyBorder="1"/>
    <xf numFmtId="43" fontId="7" fillId="0" borderId="0" xfId="0" applyNumberFormat="1" applyFont="1" applyFill="1"/>
    <xf numFmtId="164" fontId="7" fillId="0" borderId="5" xfId="0" applyNumberFormat="1" applyFont="1" applyFill="1" applyBorder="1"/>
    <xf numFmtId="0" fontId="8" fillId="0" borderId="5" xfId="0" applyNumberFormat="1" applyFont="1" applyFill="1" applyBorder="1"/>
    <xf numFmtId="0" fontId="7" fillId="0" borderId="0" xfId="0" applyFont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Alignment="1">
      <alignment horizontal="right"/>
    </xf>
    <xf numFmtId="43" fontId="7" fillId="0" borderId="0" xfId="0" applyNumberFormat="1" applyFont="1" applyAlignment="1">
      <alignment horizontal="right"/>
    </xf>
    <xf numFmtId="0" fontId="6" fillId="10" borderId="8" xfId="0" applyFont="1" applyFill="1" applyBorder="1"/>
    <xf numFmtId="9" fontId="6" fillId="10" borderId="5" xfId="2" applyFont="1" applyFill="1" applyBorder="1" applyAlignment="1">
      <alignment horizontal="center"/>
    </xf>
    <xf numFmtId="0" fontId="6" fillId="10" borderId="5" xfId="0" applyFont="1" applyFill="1" applyBorder="1"/>
    <xf numFmtId="172" fontId="6" fillId="10" borderId="5" xfId="2" applyNumberFormat="1" applyFont="1" applyFill="1" applyBorder="1"/>
    <xf numFmtId="43" fontId="6" fillId="12" borderId="5" xfId="1" applyFont="1" applyFill="1" applyBorder="1"/>
    <xf numFmtId="170" fontId="9" fillId="12" borderId="5" xfId="0" applyNumberFormat="1" applyFont="1" applyFill="1" applyBorder="1"/>
    <xf numFmtId="43" fontId="9" fillId="12" borderId="5" xfId="0" applyNumberFormat="1" applyFont="1" applyFill="1" applyBorder="1"/>
    <xf numFmtId="0" fontId="0" fillId="4" borderId="5" xfId="0" applyFill="1" applyBorder="1" applyAlignment="1">
      <alignment horizontal="left" wrapText="1" indent="2"/>
    </xf>
    <xf numFmtId="0" fontId="2" fillId="6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indent="2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5" xfId="0" applyFont="1" applyBorder="1"/>
    <xf numFmtId="0" fontId="2" fillId="6" borderId="5" xfId="0" applyFont="1" applyFill="1" applyBorder="1"/>
    <xf numFmtId="0" fontId="5" fillId="4" borderId="6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0" fillId="0" borderId="5" xfId="0" applyFill="1" applyBorder="1"/>
    <xf numFmtId="0" fontId="2" fillId="0" borderId="5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5" borderId="12" xfId="0" applyFont="1" applyFill="1" applyBorder="1"/>
    <xf numFmtId="0" fontId="4" fillId="5" borderId="13" xfId="0" applyFont="1" applyFill="1" applyBorder="1"/>
    <xf numFmtId="0" fontId="4" fillId="5" borderId="14" xfId="0" applyFont="1" applyFill="1" applyBorder="1"/>
    <xf numFmtId="0" fontId="4" fillId="5" borderId="5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0" fillId="4" borderId="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4" borderId="5" xfId="0" applyFont="1" applyFill="1" applyBorder="1"/>
    <xf numFmtId="0" fontId="4" fillId="5" borderId="2" xfId="0" applyFont="1" applyFill="1" applyBorder="1"/>
    <xf numFmtId="0" fontId="4" fillId="5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center" vertical="center" wrapText="1"/>
    </xf>
    <xf numFmtId="0" fontId="5" fillId="4" borderId="12" xfId="0" applyFont="1" applyFill="1" applyBorder="1"/>
    <xf numFmtId="0" fontId="5" fillId="4" borderId="14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surface3DChart>
        <c:wireframe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Results!#REF!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Results!#REF!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Results!#REF!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55B-4A37-844A-A65B085CE1F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Results!#REF!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Results!#REF!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Results!#REF!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55B-4A37-844A-A65B085CE1F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Results!#REF!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Results!#REF!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Results!#REF!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55B-4A37-844A-A65B085CE1FA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Results!#REF!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Results!#REF!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Results!#REF!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55B-4A37-844A-A65B085CE1FA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Results!#REF!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Results!#REF!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Results!#REF!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355B-4A37-844A-A65B085CE1FA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Results!#REF!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Results!#REF!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Results!#REF!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355B-4A37-844A-A65B085CE1FA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Results!#REF!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Results!#REF!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Results!#REF!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355B-4A37-844A-A65B085CE1FA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Results!#REF!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Results!#REF!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Results!#REF!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355B-4A37-844A-A65B085CE1FA}"/>
            </c:ext>
          </c:extLst>
        </c:ser>
        <c:bandFmts>
          <c:bandFm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65065344"/>
        <c:axId val="65066880"/>
        <c:axId val="63564864"/>
      </c:surface3DChart>
      <c:catAx>
        <c:axId val="6506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66880"/>
        <c:crosses val="autoZero"/>
        <c:auto val="1"/>
        <c:lblAlgn val="ctr"/>
        <c:lblOffset val="100"/>
        <c:tickLblSkip val="11"/>
        <c:tickMarkSkip val="1"/>
        <c:noMultiLvlLbl val="1"/>
      </c:catAx>
      <c:valAx>
        <c:axId val="65066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65344"/>
        <c:crosses val="autoZero"/>
        <c:crossBetween val="between"/>
      </c:valAx>
      <c:serAx>
        <c:axId val="6356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66880"/>
        <c:crosses val="autoZero"/>
        <c:tickLblSkip val="44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1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1447800</xdr:colOff>
          <xdr:row>64</xdr:row>
          <xdr:rowOff>228600</xdr:rowOff>
        </xdr:from>
        <xdr:to>
          <xdr:col>14</xdr:col>
          <xdr:colOff>257175</xdr:colOff>
          <xdr:row>68</xdr:row>
          <xdr:rowOff>200025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Run Model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24</xdr:row>
      <xdr:rowOff>76200</xdr:rowOff>
    </xdr:from>
    <xdr:to>
      <xdr:col>60</xdr:col>
      <xdr:colOff>0</xdr:colOff>
      <xdr:row>41</xdr:row>
      <xdr:rowOff>66675</xdr:rowOff>
    </xdr:to>
    <xdr:graphicFrame macro="">
      <xdr:nvGraphicFramePr>
        <xdr:cNvPr id="19566" name="Chart 110">
          <a:extLst>
            <a:ext uri="{FF2B5EF4-FFF2-40B4-BE49-F238E27FC236}">
              <a16:creationId xmlns:a16="http://schemas.microsoft.com/office/drawing/2014/main" id="{00000000-0008-0000-0100-00006E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T108"/>
  <sheetViews>
    <sheetView tabSelected="1" topLeftCell="B47" workbookViewId="0">
      <selection activeCell="F54" sqref="F54"/>
    </sheetView>
  </sheetViews>
  <sheetFormatPr defaultRowHeight="12.75" x14ac:dyDescent="0.2"/>
  <cols>
    <col min="2" max="2" width="10.28515625" customWidth="1"/>
    <col min="3" max="3" width="29.5703125" customWidth="1"/>
    <col min="4" max="4" width="15.140625" bestFit="1" customWidth="1"/>
    <col min="5" max="5" width="10.85546875" customWidth="1"/>
    <col min="6" max="6" width="10" customWidth="1"/>
    <col min="7" max="7" width="11" customWidth="1"/>
    <col min="9" max="9" width="29.42578125" customWidth="1"/>
    <col min="10" max="10" width="9.28515625" bestFit="1" customWidth="1"/>
    <col min="11" max="11" width="12" customWidth="1"/>
    <col min="12" max="12" width="22.85546875" customWidth="1"/>
    <col min="13" max="13" width="10.5703125" customWidth="1"/>
    <col min="15" max="15" width="12.28515625" customWidth="1"/>
    <col min="16" max="16" width="11.140625" customWidth="1"/>
    <col min="18" max="18" width="9" customWidth="1"/>
    <col min="19" max="19" width="22.42578125" bestFit="1" customWidth="1"/>
    <col min="20" max="20" width="9" customWidth="1"/>
    <col min="31" max="31" width="10.85546875" customWidth="1"/>
    <col min="32" max="32" width="12.42578125" customWidth="1"/>
    <col min="33" max="33" width="10.5703125" bestFit="1" customWidth="1"/>
    <col min="34" max="34" width="11.28515625" customWidth="1"/>
    <col min="35" max="35" width="13.42578125" customWidth="1"/>
    <col min="36" max="36" width="9" customWidth="1"/>
    <col min="37" max="37" width="11.5703125" customWidth="1"/>
    <col min="38" max="38" width="10.28515625" customWidth="1"/>
    <col min="41" max="41" width="10.28515625" bestFit="1" customWidth="1"/>
    <col min="45" max="45" width="10" customWidth="1"/>
    <col min="48" max="48" width="11" customWidth="1"/>
    <col min="49" max="49" width="9.5703125" bestFit="1" customWidth="1"/>
  </cols>
  <sheetData>
    <row r="1" spans="2:12" x14ac:dyDescent="0.2">
      <c r="B1" s="2"/>
    </row>
    <row r="2" spans="2:12" x14ac:dyDescent="0.2">
      <c r="B2" s="217" t="s">
        <v>75</v>
      </c>
      <c r="C2" s="218"/>
      <c r="D2" s="148">
        <v>0.63814814814814813</v>
      </c>
      <c r="H2" t="s">
        <v>92</v>
      </c>
      <c r="L2" s="35"/>
    </row>
    <row r="3" spans="2:12" x14ac:dyDescent="0.2">
      <c r="B3" s="217" t="s">
        <v>74</v>
      </c>
      <c r="C3" s="218"/>
      <c r="D3" s="148">
        <v>0.63046296296296289</v>
      </c>
      <c r="F3">
        <f>D8/D4</f>
        <v>1301204.8192770993</v>
      </c>
      <c r="H3" s="39" t="s">
        <v>78</v>
      </c>
      <c r="I3" s="40"/>
    </row>
    <row r="4" spans="2:12" x14ac:dyDescent="0.2">
      <c r="B4" s="217" t="s">
        <v>76</v>
      </c>
      <c r="C4" s="218"/>
      <c r="D4" s="149">
        <f>D2-D3</f>
        <v>7.6851851851852393E-3</v>
      </c>
      <c r="F4" s="106">
        <f>D4*100</f>
        <v>0.76851851851852393</v>
      </c>
      <c r="H4" s="39" t="s">
        <v>79</v>
      </c>
      <c r="I4" s="40"/>
    </row>
    <row r="5" spans="2:12" x14ac:dyDescent="0.2">
      <c r="F5" s="106"/>
      <c r="H5" s="40" t="b">
        <v>1</v>
      </c>
      <c r="I5" s="40"/>
    </row>
    <row r="6" spans="2:12" x14ac:dyDescent="0.2">
      <c r="H6" s="40" t="b">
        <v>0</v>
      </c>
      <c r="I6" s="40"/>
    </row>
    <row r="7" spans="2:12" x14ac:dyDescent="0.2">
      <c r="B7" s="201" t="s">
        <v>27</v>
      </c>
      <c r="C7" s="202"/>
      <c r="D7" s="203"/>
      <c r="E7" s="128"/>
    </row>
    <row r="8" spans="2:12" x14ac:dyDescent="0.2">
      <c r="B8" s="217" t="s">
        <v>28</v>
      </c>
      <c r="C8" s="218"/>
      <c r="D8" s="155">
        <v>10000</v>
      </c>
      <c r="E8" s="156"/>
      <c r="F8" s="4">
        <v>100000</v>
      </c>
    </row>
    <row r="9" spans="2:12" x14ac:dyDescent="0.2">
      <c r="B9" s="217" t="s">
        <v>59</v>
      </c>
      <c r="C9" s="218"/>
      <c r="D9" s="112">
        <v>7</v>
      </c>
      <c r="E9" s="128"/>
    </row>
    <row r="10" spans="2:12" x14ac:dyDescent="0.2">
      <c r="B10" s="217" t="s">
        <v>26</v>
      </c>
      <c r="C10" s="218"/>
      <c r="D10" s="130">
        <f>1/24</f>
        <v>4.1666666666666664E-2</v>
      </c>
    </row>
    <row r="11" spans="2:12" ht="12.75" customHeight="1" x14ac:dyDescent="0.2">
      <c r="B11" s="217" t="s">
        <v>80</v>
      </c>
      <c r="C11" s="218"/>
      <c r="D11" s="131">
        <v>104</v>
      </c>
    </row>
    <row r="12" spans="2:12" x14ac:dyDescent="0.2">
      <c r="B12" s="217" t="s">
        <v>77</v>
      </c>
      <c r="C12" s="218"/>
      <c r="D12" s="132" t="s">
        <v>79</v>
      </c>
    </row>
    <row r="13" spans="2:12" x14ac:dyDescent="0.2">
      <c r="B13" s="217" t="s">
        <v>91</v>
      </c>
      <c r="C13" s="218"/>
      <c r="D13" s="132" t="b">
        <v>1</v>
      </c>
    </row>
    <row r="14" spans="2:12" x14ac:dyDescent="0.2">
      <c r="B14" s="204" t="s">
        <v>170</v>
      </c>
      <c r="C14" s="204"/>
      <c r="D14" s="204"/>
    </row>
    <row r="15" spans="2:12" x14ac:dyDescent="0.2">
      <c r="B15" s="27" t="s">
        <v>162</v>
      </c>
      <c r="C15" s="27"/>
      <c r="D15" s="133">
        <f>0.096*2.065</f>
        <v>0.19824</v>
      </c>
    </row>
    <row r="16" spans="2:12" x14ac:dyDescent="0.2">
      <c r="B16" s="27" t="s">
        <v>163</v>
      </c>
      <c r="C16" s="27"/>
      <c r="D16" s="134">
        <v>1.48381200925418E-2</v>
      </c>
    </row>
    <row r="17" spans="2:13" x14ac:dyDescent="0.2">
      <c r="B17" s="27" t="s">
        <v>165</v>
      </c>
      <c r="C17" s="27"/>
      <c r="D17" s="133">
        <v>8.6150000000000004E-2</v>
      </c>
    </row>
    <row r="18" spans="2:13" x14ac:dyDescent="0.2">
      <c r="B18" s="27" t="s">
        <v>166</v>
      </c>
      <c r="C18" s="27"/>
      <c r="D18" s="172">
        <v>0</v>
      </c>
    </row>
    <row r="19" spans="2:13" x14ac:dyDescent="0.2">
      <c r="B19" s="81" t="s">
        <v>168</v>
      </c>
      <c r="C19" s="27"/>
      <c r="D19" s="150">
        <v>2.86</v>
      </c>
    </row>
    <row r="20" spans="2:13" x14ac:dyDescent="0.2">
      <c r="B20" s="27" t="s">
        <v>164</v>
      </c>
      <c r="C20" s="27"/>
      <c r="D20" s="133">
        <f>1-D18</f>
        <v>1</v>
      </c>
    </row>
    <row r="21" spans="2:13" x14ac:dyDescent="0.2">
      <c r="B21" s="81" t="s">
        <v>165</v>
      </c>
      <c r="C21" s="27"/>
      <c r="D21" s="135">
        <f>D15*D16*D20*D17</f>
        <v>2.5341099407358368E-4</v>
      </c>
    </row>
    <row r="22" spans="2:13" x14ac:dyDescent="0.2">
      <c r="B22" s="81" t="s">
        <v>167</v>
      </c>
      <c r="C22" s="27"/>
      <c r="D22" s="135">
        <f>D15*D16*D17*D18*D19</f>
        <v>0</v>
      </c>
    </row>
    <row r="23" spans="2:13" x14ac:dyDescent="0.2">
      <c r="B23" s="27" t="s">
        <v>169</v>
      </c>
      <c r="C23" s="27"/>
      <c r="D23" s="135">
        <f>D21+D22</f>
        <v>2.5341099407358368E-4</v>
      </c>
    </row>
    <row r="24" spans="2:13" ht="12.75" customHeight="1" x14ac:dyDescent="0.2">
      <c r="B24" s="204" t="s">
        <v>23</v>
      </c>
      <c r="C24" s="204"/>
      <c r="D24" s="204"/>
      <c r="E24" s="204"/>
    </row>
    <row r="25" spans="2:13" x14ac:dyDescent="0.2">
      <c r="B25" s="179" t="s">
        <v>31</v>
      </c>
      <c r="C25" s="29" t="s">
        <v>138</v>
      </c>
      <c r="D25" s="29" t="s">
        <v>64</v>
      </c>
      <c r="E25" s="29" t="s">
        <v>110</v>
      </c>
    </row>
    <row r="26" spans="2:13" x14ac:dyDescent="0.2">
      <c r="B26" s="179"/>
      <c r="C26" s="27" t="s">
        <v>139</v>
      </c>
      <c r="D26" s="125">
        <v>2.6021999999999998</v>
      </c>
      <c r="E26" s="125">
        <v>1.2952999999999999</v>
      </c>
    </row>
    <row r="27" spans="2:13" x14ac:dyDescent="0.2">
      <c r="B27" s="210" t="s">
        <v>111</v>
      </c>
      <c r="C27" s="29" t="s">
        <v>138</v>
      </c>
      <c r="D27" s="29" t="s">
        <v>64</v>
      </c>
      <c r="E27" s="29" t="s">
        <v>160</v>
      </c>
    </row>
    <row r="28" spans="2:13" x14ac:dyDescent="0.2">
      <c r="B28" s="210"/>
      <c r="C28" s="27" t="s">
        <v>161</v>
      </c>
      <c r="D28" s="125">
        <v>1.39</v>
      </c>
      <c r="E28" s="111">
        <f>POISSON(0,D28,0)</f>
        <v>0.24907530463166822</v>
      </c>
    </row>
    <row r="29" spans="2:13" x14ac:dyDescent="0.2">
      <c r="B29" s="28" t="s">
        <v>108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spans="2:13" ht="12.75" customHeight="1" x14ac:dyDescent="0.2">
      <c r="B30" s="31" t="s">
        <v>106</v>
      </c>
      <c r="C30" s="31" t="s">
        <v>17</v>
      </c>
      <c r="D30" s="41" t="s">
        <v>106</v>
      </c>
      <c r="E30" s="41" t="s">
        <v>17</v>
      </c>
      <c r="F30" s="41" t="s">
        <v>106</v>
      </c>
      <c r="G30" s="41" t="s">
        <v>17</v>
      </c>
      <c r="H30" s="41" t="s">
        <v>106</v>
      </c>
      <c r="I30" s="41" t="s">
        <v>17</v>
      </c>
      <c r="J30" s="45" t="s">
        <v>107</v>
      </c>
      <c r="K30" s="31" t="s">
        <v>17</v>
      </c>
      <c r="L30" s="31" t="s">
        <v>60</v>
      </c>
      <c r="M30" s="31" t="s">
        <v>109</v>
      </c>
    </row>
    <row r="31" spans="2:13" x14ac:dyDescent="0.2">
      <c r="B31" s="26" t="s">
        <v>93</v>
      </c>
      <c r="C31" s="136">
        <f>10/54</f>
        <v>0.18518518518518517</v>
      </c>
      <c r="D31" s="42"/>
      <c r="E31" s="43"/>
      <c r="F31" s="43"/>
      <c r="G31" s="43"/>
      <c r="H31" s="43"/>
      <c r="I31" s="44"/>
      <c r="J31" s="104" t="s">
        <v>93</v>
      </c>
      <c r="K31" s="86">
        <f>C31</f>
        <v>0.18518518518518517</v>
      </c>
      <c r="L31" s="86">
        <f>K31/K40</f>
        <v>0.18518518518518517</v>
      </c>
      <c r="M31" s="67">
        <v>1</v>
      </c>
    </row>
    <row r="32" spans="2:13" ht="12.75" customHeight="1" x14ac:dyDescent="0.2">
      <c r="B32" s="26" t="s">
        <v>94</v>
      </c>
      <c r="C32" s="111">
        <f>1-C31</f>
        <v>0.81481481481481488</v>
      </c>
      <c r="D32" s="26" t="s">
        <v>31</v>
      </c>
      <c r="E32" s="125">
        <v>0.75</v>
      </c>
      <c r="F32" s="26" t="s">
        <v>32</v>
      </c>
      <c r="G32" s="116">
        <f>(0.5-0.2)/2</f>
        <v>0.15</v>
      </c>
      <c r="H32" s="26" t="s">
        <v>95</v>
      </c>
      <c r="I32" s="137">
        <v>0.78869999999999996</v>
      </c>
      <c r="J32" s="104" t="s">
        <v>34</v>
      </c>
      <c r="K32" s="86">
        <f>C32*E32*G32*I32</f>
        <v>7.2297500000000001E-2</v>
      </c>
      <c r="L32" s="86">
        <f t="shared" ref="L32:L39" si="0">K32/$K$40+L31</f>
        <v>0.25748268518518519</v>
      </c>
      <c r="M32" s="67">
        <v>2</v>
      </c>
    </row>
    <row r="33" spans="2:17" x14ac:dyDescent="0.2">
      <c r="B33" s="37"/>
      <c r="C33" s="7"/>
      <c r="D33" s="7"/>
      <c r="E33" s="7"/>
      <c r="F33" s="7"/>
      <c r="G33" s="7"/>
      <c r="H33" s="26" t="s">
        <v>96</v>
      </c>
      <c r="I33" s="138">
        <f>1-I32</f>
        <v>0.21130000000000004</v>
      </c>
      <c r="J33" s="104" t="s">
        <v>100</v>
      </c>
      <c r="K33" s="86">
        <f>C32*E32*G32*I33</f>
        <v>1.9369166666666673E-2</v>
      </c>
      <c r="L33" s="86">
        <f t="shared" si="0"/>
        <v>0.27685185185185185</v>
      </c>
      <c r="M33" s="67">
        <v>3</v>
      </c>
    </row>
    <row r="34" spans="2:17" ht="12.75" customHeight="1" x14ac:dyDescent="0.2">
      <c r="B34" s="37"/>
      <c r="C34" s="7"/>
      <c r="D34" s="7"/>
      <c r="E34" s="7"/>
      <c r="F34" s="26" t="s">
        <v>33</v>
      </c>
      <c r="G34" s="116">
        <f>1-G32</f>
        <v>0.85</v>
      </c>
      <c r="H34" s="26" t="s">
        <v>95</v>
      </c>
      <c r="I34" s="138">
        <f>I32/2</f>
        <v>0.39434999999999998</v>
      </c>
      <c r="J34" s="104" t="s">
        <v>35</v>
      </c>
      <c r="K34" s="86">
        <f>C32*E32*G34*I34</f>
        <v>0.20484291666666668</v>
      </c>
      <c r="L34" s="86">
        <f t="shared" si="0"/>
        <v>0.48169476851851856</v>
      </c>
      <c r="M34" s="67">
        <v>4</v>
      </c>
    </row>
    <row r="35" spans="2:17" x14ac:dyDescent="0.2">
      <c r="B35" s="37"/>
      <c r="C35" s="7"/>
      <c r="D35" s="7"/>
      <c r="E35" s="7"/>
      <c r="F35" s="7"/>
      <c r="G35" s="7"/>
      <c r="H35" s="26" t="s">
        <v>96</v>
      </c>
      <c r="I35" s="138">
        <f>1-I34</f>
        <v>0.60565000000000002</v>
      </c>
      <c r="J35" s="104" t="s">
        <v>101</v>
      </c>
      <c r="K35" s="86">
        <f>C32*E32*G34*I35</f>
        <v>0.31460152777777783</v>
      </c>
      <c r="L35" s="86">
        <f t="shared" si="0"/>
        <v>0.79629629629629639</v>
      </c>
      <c r="M35" s="67">
        <v>5</v>
      </c>
    </row>
    <row r="36" spans="2:17" x14ac:dyDescent="0.2">
      <c r="B36" s="37"/>
      <c r="C36" s="7"/>
      <c r="D36" s="26" t="s">
        <v>99</v>
      </c>
      <c r="E36" s="125">
        <f>1-E32</f>
        <v>0.25</v>
      </c>
      <c r="F36" s="26" t="s">
        <v>30</v>
      </c>
      <c r="G36" s="136">
        <f>1-G38</f>
        <v>0.89655172413793105</v>
      </c>
      <c r="H36" s="26" t="s">
        <v>97</v>
      </c>
      <c r="I36" s="138">
        <f>1-I37</f>
        <v>0.93279292121280544</v>
      </c>
      <c r="J36" s="104" t="s">
        <v>102</v>
      </c>
      <c r="K36" s="86">
        <f>C32*E36*G36*I36</f>
        <v>0.17035681702864774</v>
      </c>
      <c r="L36" s="86">
        <f t="shared" si="0"/>
        <v>0.96665311332494408</v>
      </c>
      <c r="M36" s="67">
        <v>6</v>
      </c>
    </row>
    <row r="37" spans="2:17" ht="12.75" customHeight="1" x14ac:dyDescent="0.2">
      <c r="B37" s="37"/>
      <c r="C37" s="7"/>
      <c r="D37" s="7"/>
      <c r="E37" s="7"/>
      <c r="F37" s="7"/>
      <c r="G37" s="7"/>
      <c r="H37" s="26" t="s">
        <v>98</v>
      </c>
      <c r="I37" s="138">
        <f>I39</f>
        <v>6.7207078787194591E-2</v>
      </c>
      <c r="J37" s="104" t="s">
        <v>103</v>
      </c>
      <c r="K37" s="86">
        <f>C32*E36*G36*I37</f>
        <v>1.2274089740190073E-2</v>
      </c>
      <c r="L37" s="86">
        <f t="shared" si="0"/>
        <v>0.97892720306513414</v>
      </c>
      <c r="M37" s="67">
        <v>7</v>
      </c>
    </row>
    <row r="38" spans="2:17" x14ac:dyDescent="0.2">
      <c r="B38" s="37"/>
      <c r="C38" s="7"/>
      <c r="D38" s="7"/>
      <c r="E38" s="7"/>
      <c r="F38" s="26" t="s">
        <v>29</v>
      </c>
      <c r="G38" s="136">
        <f>3/29</f>
        <v>0.10344827586206896</v>
      </c>
      <c r="H38" s="26" t="s">
        <v>97</v>
      </c>
      <c r="I38" s="138">
        <f>1-I39</f>
        <v>0.93279292121280544</v>
      </c>
      <c r="J38" s="104" t="s">
        <v>104</v>
      </c>
      <c r="K38" s="86">
        <f>C32*E36*G38*I38</f>
        <v>1.9656555810997817E-2</v>
      </c>
      <c r="L38" s="86">
        <f t="shared" si="0"/>
        <v>0.99858375887613193</v>
      </c>
      <c r="M38" s="67">
        <v>8</v>
      </c>
    </row>
    <row r="39" spans="2:17" x14ac:dyDescent="0.2">
      <c r="B39" s="24"/>
      <c r="C39" s="21"/>
      <c r="D39" s="21"/>
      <c r="E39" s="21"/>
      <c r="F39" s="21"/>
      <c r="G39" s="21"/>
      <c r="H39" s="26" t="s">
        <v>98</v>
      </c>
      <c r="I39" s="138">
        <f>4/(((2*(1-0.96813))*871)+4)</f>
        <v>6.7207078787194591E-2</v>
      </c>
      <c r="J39" s="104" t="s">
        <v>105</v>
      </c>
      <c r="K39" s="86">
        <f>C32*E36*G38*I39</f>
        <v>1.4162411238680852E-3</v>
      </c>
      <c r="L39" s="86">
        <f t="shared" si="0"/>
        <v>1</v>
      </c>
      <c r="M39" s="67">
        <v>9</v>
      </c>
    </row>
    <row r="40" spans="2:17" x14ac:dyDescent="0.2">
      <c r="B40" s="201" t="s">
        <v>42</v>
      </c>
      <c r="C40" s="202"/>
      <c r="D40" s="202"/>
      <c r="E40" s="202"/>
      <c r="F40" s="202"/>
      <c r="G40" s="202"/>
      <c r="H40" s="202"/>
      <c r="I40" s="202"/>
      <c r="J40" s="203"/>
      <c r="K40" s="138">
        <f>SUM(K31:K39)</f>
        <v>1</v>
      </c>
    </row>
    <row r="41" spans="2:17" ht="12.75" customHeight="1" x14ac:dyDescent="0.2">
      <c r="B41" s="31" t="s">
        <v>37</v>
      </c>
      <c r="C41" s="31" t="s">
        <v>38</v>
      </c>
      <c r="D41" s="31" t="s">
        <v>41</v>
      </c>
      <c r="E41" s="110" t="s">
        <v>40</v>
      </c>
      <c r="F41" s="37"/>
      <c r="G41" s="7"/>
      <c r="H41" s="8"/>
      <c r="I41" s="189" t="s">
        <v>181</v>
      </c>
      <c r="J41" s="190"/>
    </row>
    <row r="42" spans="2:17" ht="12.75" customHeight="1" x14ac:dyDescent="0.2">
      <c r="B42" s="125">
        <v>67.224999999999994</v>
      </c>
      <c r="C42" s="125">
        <v>-1.1969000000000001</v>
      </c>
      <c r="D42" s="125">
        <f>4.18+E42</f>
        <v>1.9847999999999857</v>
      </c>
      <c r="E42" s="116">
        <f>B42+C42*D44</f>
        <v>-2.195200000000014</v>
      </c>
      <c r="F42" s="24"/>
      <c r="G42" s="21"/>
      <c r="H42" s="9"/>
      <c r="I42" s="191"/>
      <c r="J42" s="192"/>
    </row>
    <row r="43" spans="2:17" x14ac:dyDescent="0.2">
      <c r="B43" s="29" t="s">
        <v>36</v>
      </c>
      <c r="C43" s="29" t="s">
        <v>18</v>
      </c>
      <c r="D43" s="29" t="s">
        <v>39</v>
      </c>
      <c r="E43" s="29" t="s">
        <v>43</v>
      </c>
      <c r="F43" s="31" t="s">
        <v>8</v>
      </c>
      <c r="G43" s="31" t="s">
        <v>44</v>
      </c>
      <c r="H43" s="31" t="s">
        <v>46</v>
      </c>
      <c r="I43" s="193"/>
      <c r="J43" s="194"/>
      <c r="M43" s="181" t="s">
        <v>173</v>
      </c>
      <c r="N43" s="182"/>
      <c r="O43" s="182"/>
      <c r="P43" s="182"/>
      <c r="Q43" s="183"/>
    </row>
    <row r="44" spans="2:17" x14ac:dyDescent="0.2">
      <c r="B44" s="139">
        <f>-EXP(D42)</f>
        <v>-7.2775917215474601</v>
      </c>
      <c r="C44" s="139">
        <f>EXP(E42)</f>
        <v>0.11133629201963281</v>
      </c>
      <c r="D44" s="140">
        <v>58</v>
      </c>
      <c r="E44" s="171">
        <v>0</v>
      </c>
      <c r="F44" s="126">
        <v>0.11</v>
      </c>
      <c r="G44" s="126">
        <v>0.25</v>
      </c>
      <c r="H44" s="141">
        <v>0</v>
      </c>
      <c r="I44" s="125">
        <f>IF(E44=0,1,J44)</f>
        <v>1</v>
      </c>
      <c r="J44" s="173">
        <v>1</v>
      </c>
      <c r="M44" s="51" t="s">
        <v>6</v>
      </c>
      <c r="N44" s="51" t="s">
        <v>0</v>
      </c>
      <c r="O44" s="51" t="s">
        <v>1</v>
      </c>
      <c r="P44" s="51"/>
      <c r="Q44" s="51" t="s">
        <v>2</v>
      </c>
    </row>
    <row r="45" spans="2:17" ht="12.75" customHeight="1" x14ac:dyDescent="0.2">
      <c r="B45" s="204" t="s">
        <v>159</v>
      </c>
      <c r="C45" s="204"/>
      <c r="D45" s="204"/>
      <c r="E45" s="204"/>
      <c r="F45" s="204"/>
      <c r="G45" s="204"/>
      <c r="H45" s="204"/>
      <c r="I45" s="204"/>
      <c r="J45" s="204"/>
      <c r="K45" s="204"/>
      <c r="M45" s="91" t="s">
        <v>3</v>
      </c>
      <c r="N45" s="92">
        <v>-0.93369999999999997</v>
      </c>
      <c r="O45" s="92">
        <v>0.21079999999999999</v>
      </c>
      <c r="P45" s="92"/>
      <c r="Q45" s="92">
        <v>-0.82720000000000005</v>
      </c>
    </row>
    <row r="46" spans="2:17" x14ac:dyDescent="0.2">
      <c r="B46" s="199" t="s">
        <v>24</v>
      </c>
      <c r="C46" s="29" t="s">
        <v>6</v>
      </c>
      <c r="D46" s="29" t="s">
        <v>0</v>
      </c>
      <c r="E46" s="29" t="s">
        <v>1</v>
      </c>
      <c r="F46" s="29" t="s">
        <v>18</v>
      </c>
      <c r="G46" s="29" t="s">
        <v>19</v>
      </c>
      <c r="H46" s="29" t="s">
        <v>12</v>
      </c>
      <c r="I46" s="29" t="s">
        <v>20</v>
      </c>
      <c r="J46" s="29" t="s">
        <v>4</v>
      </c>
      <c r="K46" s="29" t="s">
        <v>171</v>
      </c>
      <c r="M46" s="93"/>
      <c r="N46" s="94"/>
      <c r="O46" s="94"/>
      <c r="P46" s="94"/>
      <c r="Q46" s="95"/>
    </row>
    <row r="47" spans="2:17" x14ac:dyDescent="0.2">
      <c r="B47" s="200"/>
      <c r="C47" s="32" t="s">
        <v>3</v>
      </c>
      <c r="D47" s="114">
        <v>-1.0063</v>
      </c>
      <c r="E47" s="114">
        <v>0.22189999999999999</v>
      </c>
      <c r="F47" s="114">
        <v>0.4007</v>
      </c>
      <c r="G47" s="114">
        <v>45.573300000000003</v>
      </c>
      <c r="H47" s="142">
        <v>0.38640000000000002</v>
      </c>
      <c r="I47" s="114">
        <v>0.30299999999999999</v>
      </c>
      <c r="J47" s="143">
        <f>10.59</f>
        <v>10.59</v>
      </c>
      <c r="K47" s="144">
        <v>1</v>
      </c>
      <c r="M47" s="96" t="s">
        <v>3</v>
      </c>
      <c r="N47" s="97">
        <v>-0.93369999999999997</v>
      </c>
      <c r="O47" s="97">
        <v>0.21079999999999999</v>
      </c>
      <c r="P47" s="97"/>
      <c r="Q47" s="97">
        <v>-0.82720000000000005</v>
      </c>
    </row>
    <row r="48" spans="2:17" x14ac:dyDescent="0.2">
      <c r="B48" s="199" t="s">
        <v>10</v>
      </c>
      <c r="C48" s="29" t="s">
        <v>6</v>
      </c>
      <c r="D48" s="29" t="s">
        <v>2</v>
      </c>
      <c r="E48" s="29" t="s">
        <v>1</v>
      </c>
      <c r="F48" s="29" t="s">
        <v>7</v>
      </c>
      <c r="G48" s="30" t="s">
        <v>8</v>
      </c>
      <c r="H48" s="29" t="s">
        <v>9</v>
      </c>
      <c r="I48" s="5"/>
      <c r="J48" s="5"/>
      <c r="K48" s="6"/>
      <c r="M48" s="98" t="s">
        <v>174</v>
      </c>
      <c r="N48" s="99">
        <v>0.28999999999999998</v>
      </c>
      <c r="O48" s="99">
        <v>1.323E-2</v>
      </c>
      <c r="P48" s="99"/>
      <c r="Q48" s="99">
        <v>0.23769999999999999</v>
      </c>
    </row>
    <row r="49" spans="2:20" x14ac:dyDescent="0.2">
      <c r="B49" s="200"/>
      <c r="C49" s="32" t="s">
        <v>3</v>
      </c>
      <c r="D49" s="125">
        <f>N58</f>
        <v>1.3103</v>
      </c>
      <c r="E49" s="125">
        <f>O58</f>
        <v>-1.5086999999999999</v>
      </c>
      <c r="F49" s="125">
        <f>P58</f>
        <v>7.51E-2</v>
      </c>
      <c r="G49" s="125">
        <f>Q58</f>
        <v>3.4824999999999999</v>
      </c>
      <c r="H49" s="125">
        <v>1</v>
      </c>
      <c r="I49" s="7"/>
      <c r="J49" s="7"/>
      <c r="K49" s="8"/>
      <c r="M49" s="184" t="s">
        <v>175</v>
      </c>
      <c r="N49" s="185"/>
      <c r="O49" s="185"/>
      <c r="P49" s="185"/>
      <c r="Q49" s="186"/>
    </row>
    <row r="50" spans="2:20" x14ac:dyDescent="0.2">
      <c r="B50" s="199" t="s">
        <v>25</v>
      </c>
      <c r="C50" s="29" t="s">
        <v>6</v>
      </c>
      <c r="D50" s="29" t="s">
        <v>21</v>
      </c>
      <c r="E50" s="29" t="s">
        <v>4</v>
      </c>
      <c r="F50" s="29" t="s">
        <v>5</v>
      </c>
      <c r="G50" s="29" t="s">
        <v>66</v>
      </c>
      <c r="H50" s="7"/>
      <c r="I50" s="7"/>
      <c r="J50" s="7"/>
      <c r="K50" s="8"/>
      <c r="M50" s="10" t="s">
        <v>0</v>
      </c>
      <c r="N50" s="99">
        <v>1</v>
      </c>
      <c r="O50" s="99">
        <v>-0.82489999999999997</v>
      </c>
      <c r="P50" s="99"/>
      <c r="Q50" s="99">
        <v>-5.672E-2</v>
      </c>
    </row>
    <row r="51" spans="2:20" x14ac:dyDescent="0.2">
      <c r="B51" s="200"/>
      <c r="C51" s="27" t="s">
        <v>3</v>
      </c>
      <c r="D51" s="125">
        <v>0.38500000000000001</v>
      </c>
      <c r="E51" s="125">
        <f>5.5+LOG(50)</f>
        <v>7.1989700043360187</v>
      </c>
      <c r="F51" s="145">
        <f>1/((2*EXP(G51))-1)</f>
        <v>3.3803618490309841E-3</v>
      </c>
      <c r="G51" s="125">
        <v>5</v>
      </c>
      <c r="H51" s="25"/>
      <c r="I51" s="25"/>
      <c r="J51" s="25"/>
      <c r="K51" s="9"/>
      <c r="M51" s="10" t="s">
        <v>1</v>
      </c>
      <c r="N51" s="99">
        <v>-0.82489999999999997</v>
      </c>
      <c r="O51" s="99">
        <v>1</v>
      </c>
      <c r="P51" s="99"/>
      <c r="Q51" s="99">
        <v>-6.1330000000000003E-2</v>
      </c>
    </row>
    <row r="52" spans="2:20" ht="12.75" customHeight="1" x14ac:dyDescent="0.2">
      <c r="B52" s="28" t="s">
        <v>145</v>
      </c>
      <c r="C52" s="33"/>
      <c r="D52" s="58"/>
      <c r="E52" s="58"/>
      <c r="F52" s="58"/>
      <c r="G52" s="34"/>
      <c r="M52" s="10" t="s">
        <v>2</v>
      </c>
      <c r="N52" s="99">
        <v>-5.672E-2</v>
      </c>
      <c r="O52" s="99">
        <v>-6.1330000000000003E-2</v>
      </c>
      <c r="P52" s="99"/>
      <c r="Q52" s="99">
        <v>1</v>
      </c>
      <c r="S52" s="124" t="s">
        <v>184</v>
      </c>
    </row>
    <row r="53" spans="2:20" ht="18" x14ac:dyDescent="0.25">
      <c r="B53" s="60"/>
      <c r="C53" s="61" t="s">
        <v>22</v>
      </c>
      <c r="D53" s="29" t="s">
        <v>138</v>
      </c>
      <c r="E53" s="29" t="s">
        <v>128</v>
      </c>
      <c r="F53" s="29" t="s">
        <v>64</v>
      </c>
      <c r="G53" s="29" t="s">
        <v>115</v>
      </c>
      <c r="H53" s="29" t="s">
        <v>68</v>
      </c>
      <c r="I53" s="162" t="s">
        <v>185</v>
      </c>
      <c r="J53" s="167"/>
      <c r="L53" s="161"/>
    </row>
    <row r="54" spans="2:20" ht="18.75" x14ac:dyDescent="0.3">
      <c r="B54" s="210" t="s">
        <v>15</v>
      </c>
      <c r="C54" s="27" t="s">
        <v>116</v>
      </c>
      <c r="D54" s="67" t="s">
        <v>139</v>
      </c>
      <c r="E54" s="68" t="s">
        <v>117</v>
      </c>
      <c r="F54" s="152">
        <v>4.3174881135363101</v>
      </c>
      <c r="G54" s="153">
        <v>1E-4</v>
      </c>
      <c r="H54" s="65"/>
      <c r="I54" s="170" t="s">
        <v>187</v>
      </c>
      <c r="J54" s="157">
        <v>4.3174881135363101</v>
      </c>
      <c r="K54" s="158">
        <v>1E-4</v>
      </c>
      <c r="L54" s="159"/>
      <c r="M54" s="187" t="s">
        <v>176</v>
      </c>
      <c r="N54" s="187"/>
      <c r="O54" s="187"/>
      <c r="P54" s="187"/>
      <c r="Q54" s="187"/>
      <c r="S54" s="87">
        <v>4.3174881135363101</v>
      </c>
      <c r="T54" s="87">
        <v>0.15</v>
      </c>
    </row>
    <row r="55" spans="2:20" ht="18.75" x14ac:dyDescent="0.3">
      <c r="B55" s="210"/>
      <c r="C55" s="27" t="s">
        <v>118</v>
      </c>
      <c r="D55" s="67" t="s">
        <v>139</v>
      </c>
      <c r="E55" s="69" t="s">
        <v>119</v>
      </c>
      <c r="F55" s="151">
        <f>LN(65)</f>
        <v>4.1743872698956368</v>
      </c>
      <c r="G55" s="153">
        <v>1E-4</v>
      </c>
      <c r="H55" s="108"/>
      <c r="I55" s="169" t="s">
        <v>184</v>
      </c>
      <c r="J55" s="157">
        <v>4.3174881135363101</v>
      </c>
      <c r="K55" s="160">
        <v>0.15</v>
      </c>
      <c r="L55" s="159"/>
      <c r="M55" s="51" t="s">
        <v>6</v>
      </c>
      <c r="N55" s="51" t="s">
        <v>2</v>
      </c>
      <c r="O55" s="51" t="s">
        <v>1</v>
      </c>
      <c r="P55" s="51" t="s">
        <v>7</v>
      </c>
      <c r="Q55" s="51" t="s">
        <v>8</v>
      </c>
      <c r="S55" s="88">
        <v>4.0082186570082099</v>
      </c>
      <c r="T55" s="88">
        <v>0.135650468237415</v>
      </c>
    </row>
    <row r="56" spans="2:20" ht="18" x14ac:dyDescent="0.25">
      <c r="B56" s="210"/>
      <c r="C56" s="27" t="s">
        <v>120</v>
      </c>
      <c r="D56" s="67" t="s">
        <v>139</v>
      </c>
      <c r="E56" s="69" t="s">
        <v>119</v>
      </c>
      <c r="F56" s="175">
        <f t="shared" ref="F56:F63" si="1">LN(45)</f>
        <v>3.8066624897703196</v>
      </c>
      <c r="G56" s="176">
        <v>1E-4</v>
      </c>
      <c r="H56" s="108"/>
      <c r="I56" s="159"/>
      <c r="J56" s="161"/>
      <c r="K56" s="161"/>
      <c r="L56" s="159"/>
      <c r="M56" s="91" t="s">
        <v>3</v>
      </c>
      <c r="N56" s="100">
        <v>1.3103</v>
      </c>
      <c r="O56" s="100">
        <v>-1.5086999999999999</v>
      </c>
      <c r="P56" s="100">
        <v>7.51E-2</v>
      </c>
      <c r="Q56" s="100">
        <v>3.4824999999999999</v>
      </c>
      <c r="S56" s="89">
        <v>3.9209083885504401</v>
      </c>
      <c r="T56" s="88">
        <v>0.13518587475694599</v>
      </c>
    </row>
    <row r="57" spans="2:20" ht="18" x14ac:dyDescent="0.25">
      <c r="B57" s="210"/>
      <c r="C57" s="27" t="s">
        <v>121</v>
      </c>
      <c r="D57" s="67" t="s">
        <v>139</v>
      </c>
      <c r="E57" s="69" t="s">
        <v>119</v>
      </c>
      <c r="F57" s="175">
        <f t="shared" si="1"/>
        <v>3.8066624897703196</v>
      </c>
      <c r="G57" s="176">
        <v>1E-4</v>
      </c>
      <c r="H57" s="108"/>
      <c r="I57" s="161" t="s">
        <v>186</v>
      </c>
      <c r="K57" s="161"/>
      <c r="L57" s="159"/>
      <c r="M57" s="101"/>
      <c r="N57" s="43"/>
      <c r="O57" s="43"/>
      <c r="P57" s="43"/>
      <c r="Q57" s="44"/>
      <c r="S57" s="89">
        <v>3.8566367819523899</v>
      </c>
      <c r="T57" s="88">
        <v>0.150187715500713</v>
      </c>
    </row>
    <row r="58" spans="2:20" ht="21" customHeight="1" x14ac:dyDescent="0.3">
      <c r="B58" s="210"/>
      <c r="C58" s="27" t="s">
        <v>122</v>
      </c>
      <c r="D58" s="67" t="s">
        <v>139</v>
      </c>
      <c r="E58" s="69" t="s">
        <v>119</v>
      </c>
      <c r="F58" s="175">
        <f t="shared" si="1"/>
        <v>3.8066624897703196</v>
      </c>
      <c r="G58" s="176">
        <v>1E-4</v>
      </c>
      <c r="H58" s="108"/>
      <c r="I58" s="169" t="s">
        <v>192</v>
      </c>
      <c r="J58" s="157">
        <f>LN(65)</f>
        <v>4.1743872698956368</v>
      </c>
      <c r="K58" s="163">
        <v>1E-4</v>
      </c>
      <c r="L58" s="159"/>
      <c r="M58" s="96" t="s">
        <v>3</v>
      </c>
      <c r="N58" s="100">
        <v>1.3103</v>
      </c>
      <c r="O58" s="100">
        <v>-1.5086999999999999</v>
      </c>
      <c r="P58" s="100">
        <v>7.51E-2</v>
      </c>
      <c r="Q58" s="100">
        <v>3.4824999999999999</v>
      </c>
      <c r="S58" s="89">
        <v>3.9690771145537602</v>
      </c>
      <c r="T58" s="89">
        <v>0.13903437672494201</v>
      </c>
    </row>
    <row r="59" spans="2:20" ht="18.75" x14ac:dyDescent="0.3">
      <c r="B59" s="210"/>
      <c r="C59" s="27" t="s">
        <v>123</v>
      </c>
      <c r="D59" s="67" t="s">
        <v>139</v>
      </c>
      <c r="E59" s="68" t="s">
        <v>117</v>
      </c>
      <c r="F59" s="175">
        <f t="shared" si="1"/>
        <v>3.8066624897703196</v>
      </c>
      <c r="G59" s="176">
        <v>1E-4</v>
      </c>
      <c r="H59" s="108"/>
      <c r="I59" s="169" t="s">
        <v>190</v>
      </c>
      <c r="J59" s="157">
        <v>3.8066624897703196</v>
      </c>
      <c r="K59" s="163">
        <v>1E-4</v>
      </c>
      <c r="L59" s="159"/>
      <c r="M59" s="98" t="s">
        <v>177</v>
      </c>
      <c r="N59" s="48">
        <v>0.11169999999999999</v>
      </c>
      <c r="O59" s="48">
        <v>0.88290000000000002</v>
      </c>
      <c r="P59" s="48">
        <v>2.2599999999999999E-2</v>
      </c>
      <c r="Q59" s="48">
        <v>0.4299</v>
      </c>
      <c r="S59" s="87">
        <v>3.8718162268535798</v>
      </c>
      <c r="T59" s="87">
        <v>0.150187715500713</v>
      </c>
    </row>
    <row r="60" spans="2:20" ht="12.75" customHeight="1" x14ac:dyDescent="0.25">
      <c r="B60" s="210"/>
      <c r="C60" s="27" t="s">
        <v>124</v>
      </c>
      <c r="D60" s="67" t="s">
        <v>139</v>
      </c>
      <c r="E60" s="68" t="s">
        <v>117</v>
      </c>
      <c r="F60" s="175">
        <f t="shared" si="1"/>
        <v>3.8066624897703196</v>
      </c>
      <c r="G60" s="176">
        <v>1E-4</v>
      </c>
      <c r="H60" s="108"/>
      <c r="I60" s="159"/>
      <c r="J60" s="161"/>
      <c r="K60" s="161"/>
      <c r="L60" s="159"/>
      <c r="M60" s="184" t="s">
        <v>175</v>
      </c>
      <c r="N60" s="185"/>
      <c r="O60" s="185"/>
      <c r="P60" s="185"/>
      <c r="Q60" s="186"/>
      <c r="S60" s="87">
        <v>3.9403663273606999</v>
      </c>
      <c r="T60" s="87">
        <v>0.15</v>
      </c>
    </row>
    <row r="61" spans="2:20" ht="18" x14ac:dyDescent="0.25">
      <c r="B61" s="210"/>
      <c r="C61" s="27" t="s">
        <v>125</v>
      </c>
      <c r="D61" s="67" t="s">
        <v>139</v>
      </c>
      <c r="E61" s="69" t="s">
        <v>119</v>
      </c>
      <c r="F61" s="175">
        <f t="shared" si="1"/>
        <v>3.8066624897703196</v>
      </c>
      <c r="G61" s="176">
        <v>1E-4</v>
      </c>
      <c r="H61" s="108"/>
      <c r="I61" s="159"/>
      <c r="J61" s="161"/>
      <c r="K61" s="161"/>
      <c r="L61" s="159"/>
      <c r="M61" s="10" t="s">
        <v>2</v>
      </c>
      <c r="N61" s="102">
        <v>1</v>
      </c>
      <c r="O61" s="102">
        <v>0</v>
      </c>
      <c r="P61" s="102">
        <v>0</v>
      </c>
      <c r="Q61" s="102">
        <v>-5.04E-2</v>
      </c>
      <c r="S61" s="89">
        <v>3.6625132013388102</v>
      </c>
      <c r="T61" s="89">
        <v>9.8575239141483403E-2</v>
      </c>
    </row>
    <row r="62" spans="2:20" ht="18" x14ac:dyDescent="0.25">
      <c r="B62" s="210"/>
      <c r="C62" s="27" t="s">
        <v>126</v>
      </c>
      <c r="D62" s="67" t="s">
        <v>139</v>
      </c>
      <c r="E62" s="69" t="s">
        <v>119</v>
      </c>
      <c r="F62" s="175">
        <f t="shared" si="1"/>
        <v>3.8066624897703196</v>
      </c>
      <c r="G62" s="176">
        <v>1E-4</v>
      </c>
      <c r="H62" s="108"/>
      <c r="I62" s="159"/>
      <c r="J62" s="161"/>
      <c r="K62" s="161"/>
      <c r="L62" s="159"/>
      <c r="M62" s="10" t="s">
        <v>1</v>
      </c>
      <c r="N62" s="102">
        <v>0</v>
      </c>
      <c r="O62" s="102">
        <v>1</v>
      </c>
      <c r="P62" s="102">
        <v>-0.99370000000000003</v>
      </c>
      <c r="Q62" s="102">
        <v>0.9718</v>
      </c>
      <c r="S62" s="89">
        <v>4.4151722885843103</v>
      </c>
      <c r="T62" s="89">
        <v>0.14186345297611799</v>
      </c>
    </row>
    <row r="63" spans="2:20" ht="18" x14ac:dyDescent="0.25">
      <c r="B63" s="210"/>
      <c r="C63" s="27" t="s">
        <v>127</v>
      </c>
      <c r="D63" s="67" t="s">
        <v>139</v>
      </c>
      <c r="E63" s="69" t="s">
        <v>119</v>
      </c>
      <c r="F63" s="175">
        <f t="shared" si="1"/>
        <v>3.8066624897703196</v>
      </c>
      <c r="G63" s="176">
        <v>1E-4</v>
      </c>
      <c r="H63" s="108"/>
      <c r="I63" s="168" t="s">
        <v>188</v>
      </c>
      <c r="K63" s="164"/>
      <c r="L63" s="159"/>
      <c r="M63" s="10" t="s">
        <v>7</v>
      </c>
      <c r="N63" s="102">
        <v>0</v>
      </c>
      <c r="O63" s="102">
        <v>-0.99370000000000003</v>
      </c>
      <c r="P63" s="102">
        <v>1</v>
      </c>
      <c r="Q63" s="102">
        <v>-0.94520000000000004</v>
      </c>
      <c r="S63" s="89">
        <v>3.6566406692021198</v>
      </c>
      <c r="T63" s="89">
        <v>0.1061442844933</v>
      </c>
    </row>
    <row r="64" spans="2:20" ht="18" x14ac:dyDescent="0.25">
      <c r="B64" s="210" t="s">
        <v>14</v>
      </c>
      <c r="C64" s="27" t="s">
        <v>116</v>
      </c>
      <c r="D64" s="67" t="s">
        <v>182</v>
      </c>
      <c r="E64" s="68" t="s">
        <v>117</v>
      </c>
      <c r="F64" s="129">
        <v>1.5</v>
      </c>
      <c r="G64" s="154">
        <v>1.5000100000000001</v>
      </c>
      <c r="H64" s="125">
        <v>2</v>
      </c>
      <c r="I64" s="170" t="s">
        <v>187</v>
      </c>
      <c r="J64" s="165">
        <v>1.5</v>
      </c>
      <c r="K64" s="165">
        <v>1.5</v>
      </c>
      <c r="L64" s="159"/>
      <c r="M64" s="10" t="s">
        <v>8</v>
      </c>
      <c r="N64" s="102">
        <v>-5.04E-2</v>
      </c>
      <c r="O64" s="102">
        <v>0.9718</v>
      </c>
      <c r="P64" s="102">
        <v>-0.94520000000000004</v>
      </c>
      <c r="Q64" s="102">
        <v>1</v>
      </c>
      <c r="S64" s="87">
        <v>0</v>
      </c>
      <c r="T64" s="87">
        <v>0.5</v>
      </c>
    </row>
    <row r="65" spans="1:20" ht="21" customHeight="1" x14ac:dyDescent="0.25">
      <c r="A65">
        <v>12</v>
      </c>
      <c r="B65" s="210"/>
      <c r="C65" s="27" t="s">
        <v>118</v>
      </c>
      <c r="D65" s="67" t="s">
        <v>139</v>
      </c>
      <c r="E65" s="69" t="s">
        <v>119</v>
      </c>
      <c r="F65" s="129">
        <f>LN(5)</f>
        <v>1.6094379124341003</v>
      </c>
      <c r="G65" s="154">
        <v>1E-4</v>
      </c>
      <c r="H65" s="108"/>
      <c r="I65" s="169" t="s">
        <v>184</v>
      </c>
      <c r="J65" s="165">
        <v>0</v>
      </c>
      <c r="K65" s="165">
        <v>0.5</v>
      </c>
      <c r="L65" s="159"/>
      <c r="S65" s="88">
        <v>0.72085880120916002</v>
      </c>
      <c r="T65" s="88">
        <v>0.59432653294104398</v>
      </c>
    </row>
    <row r="66" spans="1:20" ht="18" x14ac:dyDescent="0.25">
      <c r="A66">
        <v>24</v>
      </c>
      <c r="B66" s="210"/>
      <c r="C66" s="27" t="s">
        <v>120</v>
      </c>
      <c r="D66" s="67" t="s">
        <v>139</v>
      </c>
      <c r="E66" s="68" t="s">
        <v>117</v>
      </c>
      <c r="F66" s="177">
        <f>LN(0.0001)</f>
        <v>-9.2103403719761818</v>
      </c>
      <c r="G66" s="176">
        <v>1E-4</v>
      </c>
      <c r="H66" s="108"/>
      <c r="I66" s="159"/>
      <c r="J66" s="161"/>
      <c r="K66" s="161"/>
      <c r="L66" s="159"/>
      <c r="S66" s="87">
        <v>-1.3862943611198899</v>
      </c>
      <c r="T66" s="87">
        <v>0.59</v>
      </c>
    </row>
    <row r="67" spans="1:20" ht="18" x14ac:dyDescent="0.25">
      <c r="A67">
        <v>36</v>
      </c>
      <c r="B67" s="210"/>
      <c r="C67" s="27" t="s">
        <v>121</v>
      </c>
      <c r="D67" s="67" t="s">
        <v>139</v>
      </c>
      <c r="E67" s="69" t="s">
        <v>119</v>
      </c>
      <c r="F67" s="177">
        <f t="shared" ref="F67:F73" si="2">LN(0.0001)</f>
        <v>-9.2103403719761818</v>
      </c>
      <c r="G67" s="176">
        <v>1E-4</v>
      </c>
      <c r="H67" s="108"/>
      <c r="I67" s="159"/>
      <c r="J67" s="161" t="s">
        <v>189</v>
      </c>
      <c r="K67" s="161"/>
      <c r="L67" s="159"/>
      <c r="S67" s="89">
        <v>-4.35488475713404E-2</v>
      </c>
      <c r="T67" s="89">
        <v>1.33255196812443</v>
      </c>
    </row>
    <row r="68" spans="1:20" ht="18.75" x14ac:dyDescent="0.3">
      <c r="B68" s="210"/>
      <c r="C68" s="27" t="s">
        <v>122</v>
      </c>
      <c r="D68" s="67" t="s">
        <v>139</v>
      </c>
      <c r="E68" s="69" t="s">
        <v>119</v>
      </c>
      <c r="F68" s="177">
        <f t="shared" si="2"/>
        <v>-9.2103403719761818</v>
      </c>
      <c r="G68" s="176">
        <v>1E-4</v>
      </c>
      <c r="H68" s="108"/>
      <c r="I68" s="169" t="s">
        <v>191</v>
      </c>
      <c r="J68" s="166">
        <v>5</v>
      </c>
      <c r="K68" s="166">
        <v>5</v>
      </c>
      <c r="L68" s="159"/>
      <c r="S68" s="89">
        <v>0.66671918927652296</v>
      </c>
      <c r="T68" s="89">
        <v>0.886681909108197</v>
      </c>
    </row>
    <row r="69" spans="1:20" ht="18" x14ac:dyDescent="0.25">
      <c r="A69">
        <v>48</v>
      </c>
      <c r="B69" s="210"/>
      <c r="C69" s="27" t="s">
        <v>123</v>
      </c>
      <c r="D69" s="67" t="s">
        <v>139</v>
      </c>
      <c r="E69" s="68" t="s">
        <v>117</v>
      </c>
      <c r="F69" s="177">
        <f t="shared" si="2"/>
        <v>-9.2103403719761818</v>
      </c>
      <c r="G69" s="176">
        <v>1E-4</v>
      </c>
      <c r="H69" s="108"/>
      <c r="I69" s="159"/>
      <c r="J69" s="159"/>
      <c r="K69" s="159"/>
      <c r="L69" s="159"/>
      <c r="S69" s="87">
        <v>5.2337337403121201E-2</v>
      </c>
      <c r="T69" s="87">
        <v>1.33255196812443</v>
      </c>
    </row>
    <row r="70" spans="1:20" x14ac:dyDescent="0.2">
      <c r="A70">
        <v>60</v>
      </c>
      <c r="B70" s="210"/>
      <c r="C70" s="27" t="s">
        <v>124</v>
      </c>
      <c r="D70" s="67" t="s">
        <v>139</v>
      </c>
      <c r="E70" s="68" t="s">
        <v>117</v>
      </c>
      <c r="F70" s="177">
        <f t="shared" si="2"/>
        <v>-9.2103403719761818</v>
      </c>
      <c r="G70" s="176">
        <v>1E-4</v>
      </c>
      <c r="H70" s="108"/>
      <c r="S70" s="87">
        <v>-0.69314718055994495</v>
      </c>
      <c r="T70" s="87">
        <v>0.59</v>
      </c>
    </row>
    <row r="71" spans="1:20" x14ac:dyDescent="0.2">
      <c r="A71">
        <v>72</v>
      </c>
      <c r="B71" s="210"/>
      <c r="C71" s="27" t="s">
        <v>125</v>
      </c>
      <c r="D71" s="67" t="s">
        <v>139</v>
      </c>
      <c r="E71" s="69" t="s">
        <v>119</v>
      </c>
      <c r="F71" s="177">
        <f t="shared" si="2"/>
        <v>-9.2103403719761818</v>
      </c>
      <c r="G71" s="176">
        <v>1E-4</v>
      </c>
      <c r="H71" s="108"/>
      <c r="S71" s="89">
        <v>2.3308199228008002</v>
      </c>
      <c r="T71" s="89">
        <v>0.58517792540915703</v>
      </c>
    </row>
    <row r="72" spans="1:20" x14ac:dyDescent="0.2">
      <c r="A72">
        <v>84</v>
      </c>
      <c r="B72" s="210"/>
      <c r="C72" s="27" t="s">
        <v>126</v>
      </c>
      <c r="D72" s="67" t="s">
        <v>139</v>
      </c>
      <c r="E72" s="69" t="s">
        <v>119</v>
      </c>
      <c r="F72" s="177">
        <f t="shared" si="2"/>
        <v>-9.2103403719761818</v>
      </c>
      <c r="G72" s="176">
        <v>1E-4</v>
      </c>
      <c r="H72" s="108"/>
      <c r="O72" s="62"/>
      <c r="S72" s="89">
        <v>-3.1207496802148502</v>
      </c>
      <c r="T72" s="89">
        <v>0.37316986335026098</v>
      </c>
    </row>
    <row r="73" spans="1:20" x14ac:dyDescent="0.2">
      <c r="A73">
        <v>96</v>
      </c>
      <c r="B73" s="210"/>
      <c r="C73" s="32" t="s">
        <v>127</v>
      </c>
      <c r="D73" s="71" t="s">
        <v>139</v>
      </c>
      <c r="E73" s="70" t="s">
        <v>117</v>
      </c>
      <c r="F73" s="177">
        <f t="shared" si="2"/>
        <v>-9.2103403719761818</v>
      </c>
      <c r="G73" s="176">
        <v>1E-4</v>
      </c>
      <c r="H73" s="11"/>
      <c r="S73" s="90">
        <v>1.7776740307447101</v>
      </c>
      <c r="T73" s="90">
        <v>0.58517792540915703</v>
      </c>
    </row>
    <row r="74" spans="1:20" x14ac:dyDescent="0.2">
      <c r="B74" s="216" t="s">
        <v>141</v>
      </c>
      <c r="C74" s="73" t="s">
        <v>146</v>
      </c>
      <c r="D74" s="74"/>
      <c r="E74" s="197" t="s">
        <v>144</v>
      </c>
      <c r="F74" s="197"/>
      <c r="G74" s="197"/>
      <c r="H74" s="198"/>
    </row>
    <row r="75" spans="1:20" x14ac:dyDescent="0.2">
      <c r="B75" s="210"/>
      <c r="C75" s="72" t="s">
        <v>22</v>
      </c>
      <c r="D75" s="31" t="s">
        <v>138</v>
      </c>
      <c r="E75" s="113">
        <v>0</v>
      </c>
      <c r="F75" s="113">
        <v>0.01</v>
      </c>
      <c r="G75" s="113">
        <v>0.1</v>
      </c>
      <c r="H75" s="113">
        <v>1</v>
      </c>
    </row>
    <row r="76" spans="1:20" ht="12.75" customHeight="1" x14ac:dyDescent="0.2">
      <c r="B76" s="210"/>
      <c r="C76" s="66" t="s">
        <v>142</v>
      </c>
      <c r="D76" s="26" t="s">
        <v>140</v>
      </c>
      <c r="E76" s="111">
        <v>0</v>
      </c>
      <c r="F76" s="111">
        <v>0</v>
      </c>
      <c r="G76" s="111">
        <v>0</v>
      </c>
      <c r="H76" s="111">
        <v>1</v>
      </c>
    </row>
    <row r="77" spans="1:20" x14ac:dyDescent="0.2">
      <c r="B77" s="210"/>
      <c r="C77" s="66" t="s">
        <v>143</v>
      </c>
      <c r="D77" s="26" t="s">
        <v>140</v>
      </c>
      <c r="E77" s="111">
        <v>0</v>
      </c>
      <c r="F77" s="111">
        <v>0</v>
      </c>
      <c r="G77" s="111">
        <v>0</v>
      </c>
      <c r="H77" s="111">
        <v>1</v>
      </c>
      <c r="J77" s="205" t="s">
        <v>81</v>
      </c>
      <c r="K77" s="206"/>
      <c r="L77" s="206"/>
      <c r="M77" s="206"/>
      <c r="N77" s="206"/>
      <c r="O77" s="206"/>
      <c r="P77" s="207"/>
    </row>
    <row r="78" spans="1:20" x14ac:dyDescent="0.2">
      <c r="B78" s="210"/>
      <c r="C78" s="66" t="s">
        <v>118</v>
      </c>
      <c r="D78" s="26" t="s">
        <v>140</v>
      </c>
      <c r="E78" s="111">
        <v>0</v>
      </c>
      <c r="F78" s="111">
        <v>0.01</v>
      </c>
      <c r="G78" s="111">
        <v>1</v>
      </c>
      <c r="H78" s="111">
        <v>1</v>
      </c>
      <c r="J78" s="80" t="s">
        <v>87</v>
      </c>
      <c r="K78" s="80" t="s">
        <v>82</v>
      </c>
      <c r="L78" s="196" t="s">
        <v>83</v>
      </c>
      <c r="M78" s="196"/>
      <c r="N78" s="196"/>
      <c r="O78" s="196"/>
      <c r="P78" s="196"/>
    </row>
    <row r="79" spans="1:20" x14ac:dyDescent="0.2">
      <c r="B79" s="210"/>
      <c r="C79" s="66" t="s">
        <v>120</v>
      </c>
      <c r="D79" s="26" t="s">
        <v>140</v>
      </c>
      <c r="E79" s="111">
        <v>0</v>
      </c>
      <c r="F79" s="111">
        <v>0.01</v>
      </c>
      <c r="G79" s="111">
        <v>1</v>
      </c>
      <c r="H79" s="111">
        <v>1</v>
      </c>
      <c r="J79" s="82" t="s">
        <v>85</v>
      </c>
      <c r="K79" s="83">
        <v>0.01</v>
      </c>
      <c r="L79" s="195" t="s">
        <v>90</v>
      </c>
      <c r="M79" s="195"/>
      <c r="N79" s="195"/>
      <c r="O79" s="195"/>
      <c r="P79" s="195"/>
    </row>
    <row r="80" spans="1:20" x14ac:dyDescent="0.2">
      <c r="B80" s="210"/>
      <c r="C80" s="66" t="s">
        <v>121</v>
      </c>
      <c r="D80" s="26" t="s">
        <v>140</v>
      </c>
      <c r="E80" s="111">
        <v>0</v>
      </c>
      <c r="F80" s="111">
        <v>0.01</v>
      </c>
      <c r="G80" s="111">
        <v>1</v>
      </c>
      <c r="H80" s="111">
        <v>1</v>
      </c>
      <c r="J80" s="82" t="s">
        <v>86</v>
      </c>
      <c r="K80" s="83">
        <v>0.1</v>
      </c>
      <c r="L80" s="195" t="s">
        <v>89</v>
      </c>
      <c r="M80" s="195"/>
      <c r="N80" s="195"/>
      <c r="O80" s="195"/>
      <c r="P80" s="195"/>
    </row>
    <row r="81" spans="2:16" x14ac:dyDescent="0.2">
      <c r="B81" s="210"/>
      <c r="C81" s="66" t="s">
        <v>122</v>
      </c>
      <c r="D81" s="26" t="s">
        <v>140</v>
      </c>
      <c r="E81" s="111">
        <v>0</v>
      </c>
      <c r="F81" s="111">
        <v>1</v>
      </c>
      <c r="G81" s="111">
        <v>1</v>
      </c>
      <c r="H81" s="111">
        <v>1</v>
      </c>
      <c r="J81" s="84"/>
      <c r="K81" s="83">
        <v>1</v>
      </c>
      <c r="L81" s="195" t="s">
        <v>88</v>
      </c>
      <c r="M81" s="195"/>
      <c r="N81" s="195"/>
      <c r="O81" s="195"/>
      <c r="P81" s="195"/>
    </row>
    <row r="82" spans="2:16" x14ac:dyDescent="0.2">
      <c r="B82" s="210"/>
      <c r="C82" s="66" t="s">
        <v>123</v>
      </c>
      <c r="D82" s="26" t="s">
        <v>140</v>
      </c>
      <c r="E82" s="111">
        <v>0</v>
      </c>
      <c r="F82" s="111">
        <v>0.99</v>
      </c>
      <c r="G82" s="111">
        <v>1</v>
      </c>
      <c r="H82" s="111">
        <v>1</v>
      </c>
      <c r="J82" s="85"/>
      <c r="K82" s="86">
        <f>0.11*60</f>
        <v>6.6</v>
      </c>
      <c r="L82" s="195" t="s">
        <v>84</v>
      </c>
      <c r="M82" s="195"/>
      <c r="N82" s="195"/>
      <c r="O82" s="195"/>
      <c r="P82" s="195"/>
    </row>
    <row r="83" spans="2:16" x14ac:dyDescent="0.2">
      <c r="B83" s="210"/>
      <c r="C83" s="66" t="s">
        <v>124</v>
      </c>
      <c r="D83" s="26" t="s">
        <v>140</v>
      </c>
      <c r="E83" s="111">
        <v>0</v>
      </c>
      <c r="F83" s="111">
        <v>0.99</v>
      </c>
      <c r="G83" s="111">
        <v>1</v>
      </c>
      <c r="H83" s="111">
        <v>1</v>
      </c>
    </row>
    <row r="84" spans="2:16" x14ac:dyDescent="0.2">
      <c r="B84" s="210"/>
      <c r="C84" s="66" t="s">
        <v>125</v>
      </c>
      <c r="D84" s="26" t="s">
        <v>140</v>
      </c>
      <c r="E84" s="111">
        <v>0</v>
      </c>
      <c r="F84" s="111">
        <v>0.2</v>
      </c>
      <c r="G84" s="111">
        <v>1</v>
      </c>
      <c r="H84" s="111">
        <v>1</v>
      </c>
    </row>
    <row r="85" spans="2:16" x14ac:dyDescent="0.2">
      <c r="B85" s="210"/>
      <c r="C85" s="66" t="s">
        <v>126</v>
      </c>
      <c r="D85" s="26" t="s">
        <v>140</v>
      </c>
      <c r="E85" s="111">
        <v>0</v>
      </c>
      <c r="F85" s="111">
        <v>0</v>
      </c>
      <c r="G85" s="111">
        <v>1</v>
      </c>
      <c r="H85" s="111">
        <v>1</v>
      </c>
    </row>
    <row r="86" spans="2:16" x14ac:dyDescent="0.2">
      <c r="B86" s="210"/>
      <c r="C86" s="66" t="s">
        <v>127</v>
      </c>
      <c r="D86" s="26" t="s">
        <v>140</v>
      </c>
      <c r="E86" s="111">
        <v>0</v>
      </c>
      <c r="F86" s="111">
        <v>0</v>
      </c>
      <c r="G86" s="111">
        <v>0.55000000000000004</v>
      </c>
      <c r="H86" s="111">
        <v>1</v>
      </c>
    </row>
    <row r="87" spans="2:16" x14ac:dyDescent="0.2">
      <c r="B87" s="28" t="s">
        <v>158</v>
      </c>
      <c r="C87" s="58"/>
      <c r="D87" s="58"/>
      <c r="E87" s="58"/>
      <c r="F87" s="58"/>
      <c r="G87" s="59"/>
    </row>
    <row r="88" spans="2:16" x14ac:dyDescent="0.2">
      <c r="B88" s="179" t="s">
        <v>157</v>
      </c>
      <c r="C88" s="75" t="s">
        <v>147</v>
      </c>
      <c r="D88" s="61" t="s">
        <v>17</v>
      </c>
      <c r="E88" s="188" t="s">
        <v>148</v>
      </c>
      <c r="F88" s="188"/>
      <c r="G88" s="188"/>
    </row>
    <row r="89" spans="2:16" x14ac:dyDescent="0.2">
      <c r="B89" s="179"/>
      <c r="C89" s="76" t="s">
        <v>149</v>
      </c>
      <c r="D89" s="115">
        <f>1-(D96+D97)</f>
        <v>0.46629723922848443</v>
      </c>
      <c r="E89" s="79"/>
      <c r="F89" s="31" t="s">
        <v>17</v>
      </c>
      <c r="G89" s="31" t="s">
        <v>60</v>
      </c>
    </row>
    <row r="90" spans="2:16" x14ac:dyDescent="0.2">
      <c r="B90" s="179"/>
      <c r="C90" s="178" t="s">
        <v>152</v>
      </c>
      <c r="D90" s="178"/>
      <c r="E90" s="117">
        <v>0.94</v>
      </c>
      <c r="F90" s="125">
        <v>0.12</v>
      </c>
      <c r="G90" s="125">
        <f>F90/F96</f>
        <v>0.12</v>
      </c>
    </row>
    <row r="91" spans="2:16" x14ac:dyDescent="0.2">
      <c r="B91" s="179"/>
      <c r="C91" s="180" t="s">
        <v>153</v>
      </c>
      <c r="D91" s="180"/>
      <c r="E91" s="117">
        <v>1.76</v>
      </c>
      <c r="F91" s="125">
        <v>0.13500000000000001</v>
      </c>
      <c r="G91" s="125">
        <f>F91/$F$96+G90</f>
        <v>0.255</v>
      </c>
    </row>
    <row r="92" spans="2:16" x14ac:dyDescent="0.2">
      <c r="B92" s="179"/>
      <c r="C92" s="180" t="s">
        <v>154</v>
      </c>
      <c r="D92" s="180"/>
      <c r="E92" s="117">
        <v>4.93333333333333</v>
      </c>
      <c r="F92" s="125">
        <v>0.23499999999999999</v>
      </c>
      <c r="G92" s="125">
        <f>F92/$F$96+G91</f>
        <v>0.49</v>
      </c>
    </row>
    <row r="93" spans="2:16" x14ac:dyDescent="0.2">
      <c r="B93" s="179"/>
      <c r="C93" s="180" t="s">
        <v>154</v>
      </c>
      <c r="D93" s="180"/>
      <c r="E93" s="117">
        <v>6.09</v>
      </c>
      <c r="F93" s="125">
        <v>0.23499999999999999</v>
      </c>
      <c r="G93" s="125">
        <f>F93/$F$96+G92</f>
        <v>0.72499999999999998</v>
      </c>
    </row>
    <row r="94" spans="2:16" x14ac:dyDescent="0.2">
      <c r="B94" s="179"/>
      <c r="C94" s="180" t="s">
        <v>155</v>
      </c>
      <c r="D94" s="180"/>
      <c r="E94" s="117">
        <v>6.3244444444444401</v>
      </c>
      <c r="F94" s="125">
        <v>0.13500000000000001</v>
      </c>
      <c r="G94" s="125">
        <f>F94/$F$96+G93</f>
        <v>0.86</v>
      </c>
    </row>
    <row r="95" spans="2:16" x14ac:dyDescent="0.2">
      <c r="B95" s="179"/>
      <c r="C95" s="180" t="s">
        <v>156</v>
      </c>
      <c r="D95" s="180"/>
      <c r="E95" s="117">
        <v>8</v>
      </c>
      <c r="F95" s="125">
        <v>0.14000000000000001</v>
      </c>
      <c r="G95" s="125">
        <f>F95/$F$96+G94</f>
        <v>1</v>
      </c>
    </row>
    <row r="96" spans="2:16" x14ac:dyDescent="0.2">
      <c r="B96" s="179"/>
      <c r="C96" s="78" t="s">
        <v>150</v>
      </c>
      <c r="D96" s="146">
        <v>3.3421119106366299E-3</v>
      </c>
      <c r="E96" s="127">
        <v>0</v>
      </c>
      <c r="F96">
        <f>SUM(F90:F95)</f>
        <v>1</v>
      </c>
    </row>
    <row r="97" spans="2:5" x14ac:dyDescent="0.2">
      <c r="B97" s="179"/>
      <c r="C97" s="77" t="s">
        <v>151</v>
      </c>
      <c r="D97" s="146">
        <v>0.53036064886087897</v>
      </c>
      <c r="E97" s="125">
        <v>12</v>
      </c>
    </row>
    <row r="98" spans="2:5" x14ac:dyDescent="0.2">
      <c r="B98" s="213" t="s">
        <v>172</v>
      </c>
      <c r="C98" s="214"/>
      <c r="D98" s="215"/>
    </row>
    <row r="99" spans="2:5" x14ac:dyDescent="0.2">
      <c r="B99" s="211" t="s">
        <v>61</v>
      </c>
      <c r="C99" s="211"/>
      <c r="D99" s="174">
        <v>0</v>
      </c>
    </row>
    <row r="100" spans="2:5" x14ac:dyDescent="0.2">
      <c r="B100" s="211" t="s">
        <v>62</v>
      </c>
      <c r="C100" s="211"/>
      <c r="D100" s="118">
        <v>0.55000000000000004</v>
      </c>
    </row>
    <row r="101" spans="2:5" x14ac:dyDescent="0.2">
      <c r="B101" s="201" t="s">
        <v>134</v>
      </c>
      <c r="C101" s="202"/>
      <c r="D101" s="212"/>
    </row>
    <row r="102" spans="2:5" x14ac:dyDescent="0.2">
      <c r="B102" s="208" t="s">
        <v>137</v>
      </c>
      <c r="C102" s="209"/>
      <c r="D102" s="65"/>
    </row>
    <row r="103" spans="2:5" x14ac:dyDescent="0.2">
      <c r="B103" s="208"/>
      <c r="C103" s="209"/>
      <c r="D103" s="11"/>
    </row>
    <row r="104" spans="2:5" x14ac:dyDescent="0.2">
      <c r="B104" s="208" t="s">
        <v>64</v>
      </c>
      <c r="C104" s="208"/>
      <c r="D104" s="147">
        <v>0.46947479718243701</v>
      </c>
    </row>
    <row r="105" spans="2:5" x14ac:dyDescent="0.2">
      <c r="B105" s="208" t="s">
        <v>21</v>
      </c>
      <c r="C105" s="208"/>
      <c r="D105" s="111">
        <v>1.16123779211185</v>
      </c>
    </row>
    <row r="106" spans="2:5" x14ac:dyDescent="0.2">
      <c r="B106" s="201" t="s">
        <v>131</v>
      </c>
      <c r="C106" s="203"/>
    </row>
    <row r="107" spans="2:5" x14ac:dyDescent="0.2">
      <c r="B107" s="27" t="s">
        <v>132</v>
      </c>
      <c r="C107" s="125">
        <v>0.13239999999999999</v>
      </c>
    </row>
    <row r="108" spans="2:5" x14ac:dyDescent="0.2">
      <c r="B108" s="27" t="s">
        <v>133</v>
      </c>
      <c r="C108" s="125">
        <v>51.45</v>
      </c>
    </row>
  </sheetData>
  <mergeCells count="50">
    <mergeCell ref="B25:B26"/>
    <mergeCell ref="B2:C2"/>
    <mergeCell ref="B3:C3"/>
    <mergeCell ref="B14:D14"/>
    <mergeCell ref="B7:D7"/>
    <mergeCell ref="B8:C8"/>
    <mergeCell ref="B11:C11"/>
    <mergeCell ref="B9:C9"/>
    <mergeCell ref="B12:C12"/>
    <mergeCell ref="B10:C10"/>
    <mergeCell ref="B4:C4"/>
    <mergeCell ref="B13:C13"/>
    <mergeCell ref="B24:E24"/>
    <mergeCell ref="B102:C103"/>
    <mergeCell ref="B104:C104"/>
    <mergeCell ref="B105:C105"/>
    <mergeCell ref="B106:C106"/>
    <mergeCell ref="B27:B28"/>
    <mergeCell ref="C93:D93"/>
    <mergeCell ref="B100:C100"/>
    <mergeCell ref="B101:D101"/>
    <mergeCell ref="B99:C99"/>
    <mergeCell ref="B98:D98"/>
    <mergeCell ref="B64:B73"/>
    <mergeCell ref="B74:B86"/>
    <mergeCell ref="B50:B51"/>
    <mergeCell ref="C91:D91"/>
    <mergeCell ref="C92:D92"/>
    <mergeCell ref="B54:B63"/>
    <mergeCell ref="B46:B47"/>
    <mergeCell ref="B48:B49"/>
    <mergeCell ref="B40:J40"/>
    <mergeCell ref="B45:K45"/>
    <mergeCell ref="J77:P77"/>
    <mergeCell ref="C90:D90"/>
    <mergeCell ref="B88:B97"/>
    <mergeCell ref="C94:D94"/>
    <mergeCell ref="C95:D95"/>
    <mergeCell ref="M43:Q43"/>
    <mergeCell ref="M49:Q49"/>
    <mergeCell ref="M54:Q54"/>
    <mergeCell ref="E88:G88"/>
    <mergeCell ref="I41:J43"/>
    <mergeCell ref="L81:P81"/>
    <mergeCell ref="L79:P79"/>
    <mergeCell ref="L78:P78"/>
    <mergeCell ref="M60:Q60"/>
    <mergeCell ref="L80:P80"/>
    <mergeCell ref="L82:P82"/>
    <mergeCell ref="E74:H74"/>
  </mergeCells>
  <phoneticPr fontId="0" type="noConversion"/>
  <dataValidations disablePrompts="1" xWindow="428" yWindow="337" count="2">
    <dataValidation type="list" allowBlank="1" showInputMessage="1" showErrorMessage="1" errorTitle="Lag Method" error="Select ResetLag or AccumulateLag" promptTitle="Lag Method" prompt="Select _x000a_ResetLag or AccumulateLag" sqref="D12" xr:uid="{00000000-0002-0000-0000-000000000000}">
      <formula1>$H$3:$H$4</formula1>
    </dataValidation>
    <dataValidation type="list" allowBlank="1" showInputMessage="1" showErrorMessage="1" errorTitle="Stochastic growth" error="Select TRUE or FALSE" promptTitle="Stochastic Growth?" prompt="Pick &quot;True&quot; if you wish to use the stochastic growth model.  Pick &quot;False&quot; if you wish to use the deterministic growth model." sqref="D13" xr:uid="{00000000-0002-0000-0000-000001000000}">
      <formula1>$H$5:$H$6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odelEgg">
                <anchor moveWithCells="1" sizeWithCells="1">
                  <from>
                    <xdr:col>11</xdr:col>
                    <xdr:colOff>1447800</xdr:colOff>
                    <xdr:row>64</xdr:row>
                    <xdr:rowOff>228600</xdr:rowOff>
                  </from>
                  <to>
                    <xdr:col>14</xdr:col>
                    <xdr:colOff>257175</xdr:colOff>
                    <xdr:row>68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BK972"/>
  <sheetViews>
    <sheetView workbookViewId="0">
      <selection activeCell="A19" sqref="A19:XFD10018"/>
    </sheetView>
  </sheetViews>
  <sheetFormatPr defaultColWidth="12" defaultRowHeight="12.75" x14ac:dyDescent="0.2"/>
  <cols>
    <col min="1" max="1" width="9.7109375" customWidth="1"/>
    <col min="2" max="2" width="8.85546875" bestFit="1" customWidth="1"/>
    <col min="3" max="3" width="7" customWidth="1"/>
    <col min="4" max="4" width="7.28515625" bestFit="1" customWidth="1"/>
    <col min="5" max="5" width="14.85546875" bestFit="1" customWidth="1"/>
    <col min="6" max="6" width="11.28515625" bestFit="1" customWidth="1"/>
    <col min="7" max="7" width="6.7109375" bestFit="1" customWidth="1"/>
    <col min="8" max="8" width="7.28515625" bestFit="1" customWidth="1"/>
    <col min="9" max="9" width="15.85546875" customWidth="1"/>
    <col min="10" max="10" width="11.28515625" bestFit="1" customWidth="1"/>
    <col min="11" max="11" width="6.7109375" bestFit="1" customWidth="1"/>
    <col min="12" max="12" width="7.28515625" bestFit="1" customWidth="1"/>
    <col min="13" max="13" width="14.85546875" bestFit="1" customWidth="1"/>
    <col min="14" max="14" width="11.28515625" bestFit="1" customWidth="1"/>
    <col min="15" max="15" width="6.7109375" bestFit="1" customWidth="1"/>
    <col min="16" max="16" width="7.28515625" bestFit="1" customWidth="1"/>
    <col min="17" max="17" width="14.85546875" bestFit="1" customWidth="1"/>
    <col min="18" max="18" width="11.28515625" bestFit="1" customWidth="1"/>
    <col min="19" max="19" width="7.28515625" customWidth="1"/>
    <col min="20" max="20" width="7.28515625" bestFit="1" customWidth="1"/>
    <col min="21" max="21" width="16.85546875" customWidth="1"/>
    <col min="22" max="22" width="11.28515625" bestFit="1" customWidth="1"/>
    <col min="23" max="23" width="6.7109375" bestFit="1" customWidth="1"/>
    <col min="24" max="24" width="7.28515625" bestFit="1" customWidth="1"/>
    <col min="25" max="25" width="14.85546875" bestFit="1" customWidth="1"/>
    <col min="26" max="26" width="11.28515625" bestFit="1" customWidth="1"/>
    <col min="27" max="27" width="8.28515625" customWidth="1"/>
    <col min="28" max="28" width="7.28515625" bestFit="1" customWidth="1"/>
    <col min="29" max="29" width="14.85546875" bestFit="1" customWidth="1"/>
    <col min="30" max="30" width="11.28515625" bestFit="1" customWidth="1"/>
    <col min="31" max="31" width="8.42578125" customWidth="1"/>
    <col min="32" max="32" width="7.28515625" bestFit="1" customWidth="1"/>
    <col min="33" max="33" width="14.85546875" bestFit="1" customWidth="1"/>
    <col min="34" max="34" width="11.28515625" bestFit="1" customWidth="1"/>
    <col min="35" max="35" width="8.140625" customWidth="1"/>
    <col min="36" max="36" width="7.28515625" bestFit="1" customWidth="1"/>
    <col min="37" max="37" width="14.85546875" bestFit="1" customWidth="1"/>
    <col min="38" max="38" width="11.28515625" bestFit="1" customWidth="1"/>
    <col min="39" max="39" width="9" customWidth="1"/>
    <col min="40" max="40" width="7.28515625" bestFit="1" customWidth="1"/>
    <col min="41" max="41" width="14.85546875" bestFit="1" customWidth="1"/>
    <col min="42" max="42" width="11.28515625" bestFit="1" customWidth="1"/>
    <col min="43" max="43" width="17.5703125" customWidth="1"/>
    <col min="44" max="44" width="9.7109375" customWidth="1"/>
    <col min="45" max="45" width="24.28515625" customWidth="1"/>
    <col min="46" max="46" width="17.140625" customWidth="1"/>
    <col min="47" max="47" width="15.7109375" customWidth="1"/>
    <col min="48" max="48" width="16.28515625" bestFit="1" customWidth="1"/>
    <col min="49" max="49" width="20.7109375" customWidth="1"/>
    <col min="50" max="52" width="9.7109375" customWidth="1"/>
    <col min="53" max="53" width="18.28515625" customWidth="1"/>
    <col min="54" max="54" width="16.140625" bestFit="1" customWidth="1"/>
    <col min="55" max="56" width="9.7109375" customWidth="1"/>
    <col min="57" max="57" width="12" bestFit="1" customWidth="1"/>
    <col min="58" max="60" width="9.7109375" customWidth="1"/>
    <col min="61" max="61" width="11.5703125" customWidth="1"/>
    <col min="62" max="67" width="12" customWidth="1"/>
    <col min="68" max="68" width="9" customWidth="1"/>
    <col min="69" max="69" width="12" customWidth="1"/>
    <col min="70" max="70" width="12.140625" customWidth="1"/>
    <col min="71" max="105" width="12" customWidth="1"/>
    <col min="106" max="106" width="11" customWidth="1"/>
    <col min="107" max="115" width="12" customWidth="1"/>
    <col min="116" max="116" width="11" customWidth="1"/>
    <col min="117" max="187" width="12" customWidth="1"/>
    <col min="188" max="188" width="12.5703125" customWidth="1"/>
    <col min="189" max="204" width="12" customWidth="1"/>
    <col min="205" max="205" width="12.5703125" customWidth="1"/>
    <col min="206" max="207" width="12" customWidth="1"/>
    <col min="208" max="208" width="12.5703125" customWidth="1"/>
  </cols>
  <sheetData>
    <row r="1" spans="2:56" s="120" customFormat="1" x14ac:dyDescent="0.2"/>
    <row r="2" spans="2:56" s="119" customFormat="1" x14ac:dyDescent="0.2"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W2" s="122"/>
    </row>
    <row r="3" spans="2:56" x14ac:dyDescent="0.2">
      <c r="B3" t="s">
        <v>178</v>
      </c>
      <c r="C3" s="3" t="s">
        <v>179</v>
      </c>
      <c r="D3" s="12"/>
      <c r="E3" s="4"/>
      <c r="F3" s="3"/>
      <c r="G3" s="3"/>
      <c r="H3" s="12"/>
      <c r="I3" s="123"/>
      <c r="J3" s="3"/>
      <c r="K3" s="3"/>
      <c r="L3" s="12"/>
      <c r="M3" s="4"/>
      <c r="N3" s="3"/>
      <c r="O3" s="3"/>
      <c r="P3" s="12"/>
      <c r="Q3" s="4"/>
      <c r="R3" s="3"/>
      <c r="S3" s="1"/>
      <c r="T3" s="12"/>
      <c r="U3" s="4"/>
      <c r="V3" s="3"/>
      <c r="W3" s="3"/>
      <c r="X3" s="12"/>
      <c r="Y3" s="4"/>
      <c r="Z3" s="3"/>
      <c r="AA3" s="3"/>
      <c r="AB3" s="12"/>
      <c r="AC3" s="4"/>
      <c r="AD3" s="3"/>
      <c r="AE3" s="3"/>
      <c r="AF3" s="12"/>
      <c r="AG3" s="4"/>
      <c r="AH3" s="3"/>
      <c r="AI3" s="3"/>
      <c r="AJ3" s="12"/>
      <c r="AK3" s="4"/>
      <c r="AL3" s="3"/>
      <c r="AM3" s="3"/>
      <c r="AN3" s="12"/>
      <c r="AO3" s="4"/>
      <c r="AP3" s="3"/>
      <c r="AV3" s="23">
        <f>COLUMN()</f>
        <v>48</v>
      </c>
      <c r="AW3" s="4" t="e">
        <f>AV5*#REF!</f>
        <v>#DIV/0!</v>
      </c>
    </row>
    <row r="4" spans="2:56" x14ac:dyDescent="0.2">
      <c r="C4" s="55" t="s">
        <v>13</v>
      </c>
      <c r="D4" s="56"/>
      <c r="E4" s="56"/>
      <c r="F4" s="57"/>
      <c r="G4" s="55" t="s">
        <v>57</v>
      </c>
      <c r="H4" s="56"/>
      <c r="I4" s="56"/>
      <c r="J4" s="57"/>
      <c r="K4" s="55" t="s">
        <v>16</v>
      </c>
      <c r="L4" s="56"/>
      <c r="M4" s="56"/>
      <c r="N4" s="57"/>
      <c r="O4" s="55" t="s">
        <v>56</v>
      </c>
      <c r="P4" s="56"/>
      <c r="Q4" s="56"/>
      <c r="R4" s="57"/>
      <c r="S4" s="55" t="s">
        <v>55</v>
      </c>
      <c r="T4" s="56"/>
      <c r="U4" s="56"/>
      <c r="V4" s="57"/>
      <c r="W4" s="55" t="s">
        <v>54</v>
      </c>
      <c r="X4" s="56"/>
      <c r="Y4" s="56"/>
      <c r="Z4" s="57"/>
      <c r="AA4" s="55" t="s">
        <v>53</v>
      </c>
      <c r="AB4" s="56"/>
      <c r="AC4" s="56"/>
      <c r="AD4" s="57"/>
      <c r="AE4" s="55" t="s">
        <v>52</v>
      </c>
      <c r="AF4" s="56"/>
      <c r="AG4" s="56"/>
      <c r="AH4" s="57"/>
      <c r="AI4" s="55" t="s">
        <v>58</v>
      </c>
      <c r="AJ4" s="56"/>
      <c r="AK4" s="56"/>
      <c r="AL4" s="57"/>
      <c r="AM4" s="55" t="s">
        <v>45</v>
      </c>
      <c r="AN4" s="56"/>
      <c r="AO4" s="56"/>
      <c r="AP4" s="57"/>
    </row>
    <row r="5" spans="2:56" x14ac:dyDescent="0.2">
      <c r="C5" s="13" t="s">
        <v>47</v>
      </c>
      <c r="D5" s="14" t="s">
        <v>10</v>
      </c>
      <c r="E5" s="20" t="s">
        <v>49</v>
      </c>
      <c r="F5" s="13" t="s">
        <v>48</v>
      </c>
      <c r="G5" s="13" t="s">
        <v>47</v>
      </c>
      <c r="H5" s="14" t="s">
        <v>10</v>
      </c>
      <c r="I5" s="15" t="s">
        <v>49</v>
      </c>
      <c r="J5" s="13" t="s">
        <v>48</v>
      </c>
      <c r="K5" s="13" t="s">
        <v>47</v>
      </c>
      <c r="L5" s="14" t="s">
        <v>10</v>
      </c>
      <c r="M5" s="15" t="s">
        <v>49</v>
      </c>
      <c r="N5" s="13" t="s">
        <v>48</v>
      </c>
      <c r="O5" s="13" t="s">
        <v>47</v>
      </c>
      <c r="P5" s="14" t="s">
        <v>10</v>
      </c>
      <c r="Q5" s="15" t="s">
        <v>49</v>
      </c>
      <c r="R5" s="13" t="s">
        <v>48</v>
      </c>
      <c r="S5" s="36" t="s">
        <v>47</v>
      </c>
      <c r="T5" s="14" t="s">
        <v>10</v>
      </c>
      <c r="U5" s="15" t="s">
        <v>49</v>
      </c>
      <c r="V5" s="13" t="s">
        <v>48</v>
      </c>
      <c r="W5" s="13" t="s">
        <v>47</v>
      </c>
      <c r="X5" s="14" t="s">
        <v>10</v>
      </c>
      <c r="Y5" s="15" t="s">
        <v>49</v>
      </c>
      <c r="Z5" s="13" t="s">
        <v>48</v>
      </c>
      <c r="AA5" s="13" t="s">
        <v>47</v>
      </c>
      <c r="AB5" s="14" t="s">
        <v>10</v>
      </c>
      <c r="AC5" s="15" t="s">
        <v>49</v>
      </c>
      <c r="AD5" s="13" t="s">
        <v>48</v>
      </c>
      <c r="AE5" s="13" t="s">
        <v>47</v>
      </c>
      <c r="AF5" s="14" t="s">
        <v>10</v>
      </c>
      <c r="AG5" s="15" t="s">
        <v>49</v>
      </c>
      <c r="AH5" s="13" t="s">
        <v>48</v>
      </c>
      <c r="AI5" s="13" t="s">
        <v>47</v>
      </c>
      <c r="AJ5" s="14" t="s">
        <v>10</v>
      </c>
      <c r="AK5" s="15" t="s">
        <v>49</v>
      </c>
      <c r="AL5" s="13" t="s">
        <v>48</v>
      </c>
      <c r="AM5" s="13" t="s">
        <v>47</v>
      </c>
      <c r="AN5" s="14" t="s">
        <v>10</v>
      </c>
      <c r="AO5" s="15" t="s">
        <v>49</v>
      </c>
      <c r="AP5" s="13" t="s">
        <v>48</v>
      </c>
      <c r="AQ5" s="15" t="s">
        <v>130</v>
      </c>
      <c r="AR5" s="13" t="s">
        <v>129</v>
      </c>
      <c r="AS5" s="15" t="s">
        <v>49</v>
      </c>
      <c r="AT5" s="15" t="s">
        <v>135</v>
      </c>
      <c r="AU5" s="15" t="s">
        <v>136</v>
      </c>
      <c r="AV5" s="107" t="e">
        <f>AU6*Inputs!D23</f>
        <v>#DIV/0!</v>
      </c>
      <c r="AW5" s="22" t="s">
        <v>180</v>
      </c>
      <c r="AY5" s="54" t="s">
        <v>114</v>
      </c>
      <c r="AZ5" s="52"/>
      <c r="BA5" s="52"/>
      <c r="BB5" s="53"/>
    </row>
    <row r="6" spans="2:56" x14ac:dyDescent="0.2">
      <c r="B6" s="10" t="s">
        <v>64</v>
      </c>
      <c r="C6" s="16" t="e">
        <f t="shared" ref="C6:R6" si="0">AVERAGE(C19:C100018)</f>
        <v>#DIV/0!</v>
      </c>
      <c r="D6" s="17" t="e">
        <f t="shared" si="0"/>
        <v>#DIV/0!</v>
      </c>
      <c r="E6" s="18" t="e">
        <f t="shared" si="0"/>
        <v>#DIV/0!</v>
      </c>
      <c r="F6" s="38" t="e">
        <f t="shared" si="0"/>
        <v>#DIV/0!</v>
      </c>
      <c r="G6" s="16" t="e">
        <f t="shared" si="0"/>
        <v>#DIV/0!</v>
      </c>
      <c r="H6" s="17" t="e">
        <f t="shared" si="0"/>
        <v>#DIV/0!</v>
      </c>
      <c r="I6" s="18" t="e">
        <f t="shared" si="0"/>
        <v>#DIV/0!</v>
      </c>
      <c r="J6" s="38" t="e">
        <f t="shared" si="0"/>
        <v>#DIV/0!</v>
      </c>
      <c r="K6" s="16" t="e">
        <f t="shared" si="0"/>
        <v>#DIV/0!</v>
      </c>
      <c r="L6" s="17" t="e">
        <f t="shared" si="0"/>
        <v>#DIV/0!</v>
      </c>
      <c r="M6" s="18" t="e">
        <f t="shared" si="0"/>
        <v>#DIV/0!</v>
      </c>
      <c r="N6" s="38" t="e">
        <f t="shared" si="0"/>
        <v>#DIV/0!</v>
      </c>
      <c r="O6" s="16" t="e">
        <f t="shared" si="0"/>
        <v>#DIV/0!</v>
      </c>
      <c r="P6" s="17" t="e">
        <f t="shared" si="0"/>
        <v>#DIV/0!</v>
      </c>
      <c r="Q6" s="18" t="e">
        <f t="shared" si="0"/>
        <v>#DIV/0!</v>
      </c>
      <c r="R6" s="38" t="e">
        <f t="shared" si="0"/>
        <v>#DIV/0!</v>
      </c>
      <c r="S6" s="16" t="e">
        <f>IF(ISBLANK(S19),O6,AVERAGE(S19:S100018))</f>
        <v>#DIV/0!</v>
      </c>
      <c r="T6" s="17" t="e">
        <f>IF(ISBLANK(T19),P6,AVERAGE(T19:T100018))</f>
        <v>#DIV/0!</v>
      </c>
      <c r="U6" s="18" t="e">
        <f>IF(ISBLANK(U19),Q6,AVERAGE(U19:U100018))</f>
        <v>#DIV/0!</v>
      </c>
      <c r="V6" s="38" t="e">
        <f>IF(ISBLANK(V19),R6,AVERAGE(V19:V100018))</f>
        <v>#DIV/0!</v>
      </c>
      <c r="W6" s="16" t="e">
        <f t="shared" ref="W6:AU6" si="1">AVERAGE(W19:W100018)</f>
        <v>#DIV/0!</v>
      </c>
      <c r="X6" s="17" t="e">
        <f t="shared" si="1"/>
        <v>#DIV/0!</v>
      </c>
      <c r="Y6" s="18" t="e">
        <f t="shared" si="1"/>
        <v>#DIV/0!</v>
      </c>
      <c r="Z6" s="38" t="e">
        <f t="shared" si="1"/>
        <v>#DIV/0!</v>
      </c>
      <c r="AA6" s="16" t="e">
        <f t="shared" si="1"/>
        <v>#DIV/0!</v>
      </c>
      <c r="AB6" s="17" t="e">
        <f t="shared" si="1"/>
        <v>#DIV/0!</v>
      </c>
      <c r="AC6" s="18" t="e">
        <f t="shared" si="1"/>
        <v>#DIV/0!</v>
      </c>
      <c r="AD6" s="38" t="e">
        <f t="shared" si="1"/>
        <v>#DIV/0!</v>
      </c>
      <c r="AE6" s="16" t="e">
        <f t="shared" si="1"/>
        <v>#DIV/0!</v>
      </c>
      <c r="AF6" s="17" t="e">
        <f t="shared" si="1"/>
        <v>#DIV/0!</v>
      </c>
      <c r="AG6" s="18" t="e">
        <f t="shared" si="1"/>
        <v>#DIV/0!</v>
      </c>
      <c r="AH6" s="38" t="e">
        <f t="shared" si="1"/>
        <v>#DIV/0!</v>
      </c>
      <c r="AI6" s="16" t="e">
        <f t="shared" si="1"/>
        <v>#DIV/0!</v>
      </c>
      <c r="AJ6" s="17" t="e">
        <f t="shared" si="1"/>
        <v>#DIV/0!</v>
      </c>
      <c r="AK6" s="18" t="e">
        <f t="shared" si="1"/>
        <v>#DIV/0!</v>
      </c>
      <c r="AL6" s="38" t="e">
        <f t="shared" si="1"/>
        <v>#DIV/0!</v>
      </c>
      <c r="AM6" s="16" t="e">
        <f t="shared" si="1"/>
        <v>#DIV/0!</v>
      </c>
      <c r="AN6" s="17" t="e">
        <f t="shared" si="1"/>
        <v>#DIV/0!</v>
      </c>
      <c r="AO6" s="18" t="e">
        <f t="shared" si="1"/>
        <v>#DIV/0!</v>
      </c>
      <c r="AP6" s="38" t="e">
        <f t="shared" si="1"/>
        <v>#DIV/0!</v>
      </c>
      <c r="AQ6" s="18" t="e">
        <f t="shared" si="1"/>
        <v>#DIV/0!</v>
      </c>
      <c r="AR6" s="16" t="e">
        <f t="shared" si="1"/>
        <v>#DIV/0!</v>
      </c>
      <c r="AS6" s="18" t="e">
        <f t="shared" si="1"/>
        <v>#DIV/0!</v>
      </c>
      <c r="AT6" s="63" t="e">
        <f t="shared" si="1"/>
        <v>#DIV/0!</v>
      </c>
      <c r="AU6" s="103" t="e">
        <f t="shared" si="1"/>
        <v>#DIV/0!</v>
      </c>
      <c r="AV6" s="10" t="s">
        <v>64</v>
      </c>
      <c r="AW6" s="51">
        <v>7.4358202221094211E-2</v>
      </c>
      <c r="AY6" s="51" t="s">
        <v>107</v>
      </c>
      <c r="AZ6" s="51" t="s">
        <v>28</v>
      </c>
      <c r="BA6" s="51" t="s">
        <v>112</v>
      </c>
      <c r="BB6" s="51" t="s">
        <v>113</v>
      </c>
      <c r="BD6" s="105"/>
    </row>
    <row r="7" spans="2:56" x14ac:dyDescent="0.2">
      <c r="B7" s="10" t="s">
        <v>63</v>
      </c>
      <c r="C7" s="16" t="e">
        <f t="shared" ref="C7:R7" si="2">PERCENTILE(C19:C100018,0.5)</f>
        <v>#NUM!</v>
      </c>
      <c r="D7" s="17" t="e">
        <f t="shared" si="2"/>
        <v>#NUM!</v>
      </c>
      <c r="E7" s="18" t="e">
        <f t="shared" si="2"/>
        <v>#NUM!</v>
      </c>
      <c r="F7" s="38" t="e">
        <f t="shared" si="2"/>
        <v>#NUM!</v>
      </c>
      <c r="G7" s="16" t="e">
        <f t="shared" si="2"/>
        <v>#NUM!</v>
      </c>
      <c r="H7" s="17" t="e">
        <f t="shared" si="2"/>
        <v>#NUM!</v>
      </c>
      <c r="I7" s="18" t="e">
        <f t="shared" si="2"/>
        <v>#NUM!</v>
      </c>
      <c r="J7" s="38" t="e">
        <f t="shared" si="2"/>
        <v>#NUM!</v>
      </c>
      <c r="K7" s="16" t="e">
        <f t="shared" si="2"/>
        <v>#NUM!</v>
      </c>
      <c r="L7" s="17" t="e">
        <f t="shared" si="2"/>
        <v>#NUM!</v>
      </c>
      <c r="M7" s="18" t="e">
        <f t="shared" si="2"/>
        <v>#NUM!</v>
      </c>
      <c r="N7" s="38" t="e">
        <f t="shared" si="2"/>
        <v>#NUM!</v>
      </c>
      <c r="O7" s="16" t="e">
        <f t="shared" si="2"/>
        <v>#NUM!</v>
      </c>
      <c r="P7" s="17" t="e">
        <f t="shared" si="2"/>
        <v>#NUM!</v>
      </c>
      <c r="Q7" s="18" t="e">
        <f t="shared" si="2"/>
        <v>#NUM!</v>
      </c>
      <c r="R7" s="38" t="e">
        <f t="shared" si="2"/>
        <v>#NUM!</v>
      </c>
      <c r="S7" s="16" t="e">
        <f>IF(ISBLANK(S20),O7,PERCENTILE(S19:S100018,0.5))</f>
        <v>#NUM!</v>
      </c>
      <c r="T7" s="17" t="e">
        <f>IF(ISBLANK(T20),P7,PERCENTILE(T19:T100018,0.5))</f>
        <v>#NUM!</v>
      </c>
      <c r="U7" s="18" t="e">
        <f>IF(ISBLANK(U19),Q7,MAX(PERCENTILE(U19:U100018,0.5),0.0001))</f>
        <v>#NUM!</v>
      </c>
      <c r="V7" s="38" t="e">
        <f>IF(ISBLANK(V19),R7,MAX(PERCENTILE(V19:V100018,0.5),0.0001))</f>
        <v>#NUM!</v>
      </c>
      <c r="W7" s="16" t="e">
        <f t="shared" ref="W7:AU7" si="3">MAX(PERCENTILE(W19:W100018,0.5),0.0001)</f>
        <v>#NUM!</v>
      </c>
      <c r="X7" s="17" t="e">
        <f t="shared" si="3"/>
        <v>#NUM!</v>
      </c>
      <c r="Y7" s="18" t="e">
        <f t="shared" si="3"/>
        <v>#NUM!</v>
      </c>
      <c r="Z7" s="38" t="e">
        <f t="shared" si="3"/>
        <v>#NUM!</v>
      </c>
      <c r="AA7" s="16" t="e">
        <f t="shared" si="3"/>
        <v>#NUM!</v>
      </c>
      <c r="AB7" s="17" t="e">
        <f t="shared" si="3"/>
        <v>#NUM!</v>
      </c>
      <c r="AC7" s="18" t="e">
        <f t="shared" si="3"/>
        <v>#NUM!</v>
      </c>
      <c r="AD7" s="38" t="e">
        <f t="shared" si="3"/>
        <v>#NUM!</v>
      </c>
      <c r="AE7" s="16" t="e">
        <f t="shared" si="3"/>
        <v>#NUM!</v>
      </c>
      <c r="AF7" s="17" t="e">
        <f t="shared" si="3"/>
        <v>#NUM!</v>
      </c>
      <c r="AG7" s="18" t="e">
        <f t="shared" si="3"/>
        <v>#NUM!</v>
      </c>
      <c r="AH7" s="38" t="e">
        <f t="shared" si="3"/>
        <v>#NUM!</v>
      </c>
      <c r="AI7" s="16" t="e">
        <f t="shared" si="3"/>
        <v>#NUM!</v>
      </c>
      <c r="AJ7" s="17" t="e">
        <f t="shared" si="3"/>
        <v>#NUM!</v>
      </c>
      <c r="AK7" s="18" t="e">
        <f t="shared" si="3"/>
        <v>#NUM!</v>
      </c>
      <c r="AL7" s="38" t="e">
        <f t="shared" si="3"/>
        <v>#NUM!</v>
      </c>
      <c r="AM7" s="16" t="e">
        <f t="shared" si="3"/>
        <v>#NUM!</v>
      </c>
      <c r="AN7" s="17" t="e">
        <f t="shared" si="3"/>
        <v>#NUM!</v>
      </c>
      <c r="AO7" s="18" t="e">
        <f t="shared" si="3"/>
        <v>#NUM!</v>
      </c>
      <c r="AP7" s="38" t="e">
        <f t="shared" si="3"/>
        <v>#NUM!</v>
      </c>
      <c r="AQ7" s="18" t="e">
        <f t="shared" si="3"/>
        <v>#NUM!</v>
      </c>
      <c r="AR7" s="16" t="e">
        <f t="shared" si="3"/>
        <v>#NUM!</v>
      </c>
      <c r="AS7" s="18" t="e">
        <f t="shared" si="3"/>
        <v>#NUM!</v>
      </c>
      <c r="AT7" s="63" t="e">
        <f t="shared" si="3"/>
        <v>#NUM!</v>
      </c>
      <c r="AU7" s="17" t="e">
        <f t="shared" si="3"/>
        <v>#NUM!</v>
      </c>
      <c r="AV7" s="10" t="s">
        <v>63</v>
      </c>
      <c r="AW7" s="51">
        <f>AW6*Inputs!D23</f>
        <v>1.884318594237204E-5</v>
      </c>
      <c r="AY7" s="46" t="s">
        <v>93</v>
      </c>
      <c r="AZ7" s="47">
        <f>COUNTIF($B$19:$B$100018,AY7)</f>
        <v>0</v>
      </c>
      <c r="BA7" s="47">
        <f>SUMIF($B$19:$B$100018,AY7,$AO$19:$AO$100018)</f>
        <v>0</v>
      </c>
      <c r="BB7" s="47" t="e">
        <f>BA7/AZ7</f>
        <v>#DIV/0!</v>
      </c>
    </row>
    <row r="8" spans="2:56" x14ac:dyDescent="0.2">
      <c r="B8" s="10" t="s">
        <v>65</v>
      </c>
      <c r="C8" s="16" t="e">
        <f t="shared" ref="C8:R8" si="4">STDEV(C19:C100018)</f>
        <v>#DIV/0!</v>
      </c>
      <c r="D8" s="17" t="e">
        <f t="shared" si="4"/>
        <v>#DIV/0!</v>
      </c>
      <c r="E8" s="18" t="e">
        <f t="shared" si="4"/>
        <v>#DIV/0!</v>
      </c>
      <c r="F8" s="38" t="e">
        <f t="shared" si="4"/>
        <v>#DIV/0!</v>
      </c>
      <c r="G8" s="16" t="e">
        <f t="shared" si="4"/>
        <v>#DIV/0!</v>
      </c>
      <c r="H8" s="17" t="e">
        <f t="shared" si="4"/>
        <v>#DIV/0!</v>
      </c>
      <c r="I8" s="18" t="e">
        <f t="shared" si="4"/>
        <v>#DIV/0!</v>
      </c>
      <c r="J8" s="38" t="e">
        <f t="shared" si="4"/>
        <v>#DIV/0!</v>
      </c>
      <c r="K8" s="16" t="e">
        <f t="shared" si="4"/>
        <v>#DIV/0!</v>
      </c>
      <c r="L8" s="17" t="e">
        <f t="shared" si="4"/>
        <v>#DIV/0!</v>
      </c>
      <c r="M8" s="18" t="e">
        <f t="shared" si="4"/>
        <v>#DIV/0!</v>
      </c>
      <c r="N8" s="38" t="e">
        <f t="shared" si="4"/>
        <v>#DIV/0!</v>
      </c>
      <c r="O8" s="16" t="e">
        <f t="shared" si="4"/>
        <v>#DIV/0!</v>
      </c>
      <c r="P8" s="17" t="e">
        <f t="shared" si="4"/>
        <v>#DIV/0!</v>
      </c>
      <c r="Q8" s="18" t="e">
        <f t="shared" si="4"/>
        <v>#DIV/0!</v>
      </c>
      <c r="R8" s="38" t="e">
        <f t="shared" si="4"/>
        <v>#DIV/0!</v>
      </c>
      <c r="S8" s="16" t="e">
        <f>IF(ISBLANK(S21),O8,STDEV(S19:S100018))</f>
        <v>#DIV/0!</v>
      </c>
      <c r="T8" s="17" t="e">
        <f>IF(ISBLANK(T21),P8,STDEV(T19:T100018))</f>
        <v>#DIV/0!</v>
      </c>
      <c r="U8" s="18" t="e">
        <f>IF(ISBLANK(U21),Q8,STDEV(U19:U100018))</f>
        <v>#DIV/0!</v>
      </c>
      <c r="V8" s="38" t="e">
        <f>IF(ISBLANK(V21),R8,STDEV(V19:V100018))</f>
        <v>#DIV/0!</v>
      </c>
      <c r="W8" s="16" t="e">
        <f t="shared" ref="W8:AU8" si="5">STDEV(W19:W100018)</f>
        <v>#DIV/0!</v>
      </c>
      <c r="X8" s="17" t="e">
        <f t="shared" si="5"/>
        <v>#DIV/0!</v>
      </c>
      <c r="Y8" s="18" t="e">
        <f t="shared" si="5"/>
        <v>#DIV/0!</v>
      </c>
      <c r="Z8" s="38" t="e">
        <f t="shared" si="5"/>
        <v>#DIV/0!</v>
      </c>
      <c r="AA8" s="16" t="e">
        <f t="shared" si="5"/>
        <v>#DIV/0!</v>
      </c>
      <c r="AB8" s="17" t="e">
        <f t="shared" si="5"/>
        <v>#DIV/0!</v>
      </c>
      <c r="AC8" s="18" t="e">
        <f t="shared" si="5"/>
        <v>#DIV/0!</v>
      </c>
      <c r="AD8" s="38" t="e">
        <f t="shared" si="5"/>
        <v>#DIV/0!</v>
      </c>
      <c r="AE8" s="16" t="e">
        <f t="shared" si="5"/>
        <v>#DIV/0!</v>
      </c>
      <c r="AF8" s="17" t="e">
        <f t="shared" si="5"/>
        <v>#DIV/0!</v>
      </c>
      <c r="AG8" s="18" t="e">
        <f t="shared" si="5"/>
        <v>#DIV/0!</v>
      </c>
      <c r="AH8" s="38" t="e">
        <f t="shared" si="5"/>
        <v>#DIV/0!</v>
      </c>
      <c r="AI8" s="16" t="e">
        <f t="shared" si="5"/>
        <v>#DIV/0!</v>
      </c>
      <c r="AJ8" s="17" t="e">
        <f t="shared" si="5"/>
        <v>#DIV/0!</v>
      </c>
      <c r="AK8" s="18" t="e">
        <f t="shared" si="5"/>
        <v>#DIV/0!</v>
      </c>
      <c r="AL8" s="38" t="e">
        <f t="shared" si="5"/>
        <v>#DIV/0!</v>
      </c>
      <c r="AM8" s="16" t="e">
        <f t="shared" si="5"/>
        <v>#DIV/0!</v>
      </c>
      <c r="AN8" s="17" t="e">
        <f t="shared" si="5"/>
        <v>#DIV/0!</v>
      </c>
      <c r="AO8" s="18" t="e">
        <f t="shared" si="5"/>
        <v>#DIV/0!</v>
      </c>
      <c r="AP8" s="38" t="e">
        <f t="shared" si="5"/>
        <v>#DIV/0!</v>
      </c>
      <c r="AQ8" s="18" t="e">
        <f t="shared" si="5"/>
        <v>#DIV/0!</v>
      </c>
      <c r="AR8" s="16" t="e">
        <f t="shared" si="5"/>
        <v>#DIV/0!</v>
      </c>
      <c r="AS8" s="18" t="e">
        <f t="shared" si="5"/>
        <v>#DIV/0!</v>
      </c>
      <c r="AT8" s="63" t="e">
        <f t="shared" si="5"/>
        <v>#DIV/0!</v>
      </c>
      <c r="AU8" s="17" t="e">
        <f t="shared" si="5"/>
        <v>#DIV/0!</v>
      </c>
      <c r="AV8" s="10" t="s">
        <v>65</v>
      </c>
      <c r="AY8" s="46" t="s">
        <v>34</v>
      </c>
      <c r="AZ8" s="47">
        <f t="shared" ref="AZ8:AZ15" si="6">COUNTIF($B$19:$B$100018,AY8)</f>
        <v>0</v>
      </c>
      <c r="BA8" s="47">
        <f t="shared" ref="BA8:BA15" si="7">SUMIF($B$19:$B$100018,AY8,$AO$19:$AO$100018)</f>
        <v>0</v>
      </c>
      <c r="BB8" s="47" t="e">
        <f t="shared" ref="BB8:BB15" si="8">BA8/AZ8</f>
        <v>#DIV/0!</v>
      </c>
    </row>
    <row r="9" spans="2:56" x14ac:dyDescent="0.2">
      <c r="B9" s="10" t="s">
        <v>50</v>
      </c>
      <c r="C9" s="16" t="e">
        <f t="shared" ref="C9:R9" si="9">PERCENTILE(C19:C100018,0.05)</f>
        <v>#NUM!</v>
      </c>
      <c r="D9" s="17" t="e">
        <f t="shared" si="9"/>
        <v>#NUM!</v>
      </c>
      <c r="E9" s="19" t="e">
        <f t="shared" si="9"/>
        <v>#NUM!</v>
      </c>
      <c r="F9" s="38" t="e">
        <f t="shared" si="9"/>
        <v>#NUM!</v>
      </c>
      <c r="G9" s="16" t="e">
        <f t="shared" si="9"/>
        <v>#NUM!</v>
      </c>
      <c r="H9" s="17" t="e">
        <f t="shared" si="9"/>
        <v>#NUM!</v>
      </c>
      <c r="I9" s="19" t="e">
        <f t="shared" si="9"/>
        <v>#NUM!</v>
      </c>
      <c r="J9" s="38" t="e">
        <f t="shared" si="9"/>
        <v>#NUM!</v>
      </c>
      <c r="K9" s="16" t="e">
        <f t="shared" si="9"/>
        <v>#NUM!</v>
      </c>
      <c r="L9" s="17" t="e">
        <f t="shared" si="9"/>
        <v>#NUM!</v>
      </c>
      <c r="M9" s="19" t="e">
        <f t="shared" si="9"/>
        <v>#NUM!</v>
      </c>
      <c r="N9" s="38" t="e">
        <f t="shared" si="9"/>
        <v>#NUM!</v>
      </c>
      <c r="O9" s="16" t="e">
        <f t="shared" si="9"/>
        <v>#NUM!</v>
      </c>
      <c r="P9" s="17" t="e">
        <f t="shared" si="9"/>
        <v>#NUM!</v>
      </c>
      <c r="Q9" s="19" t="e">
        <f t="shared" si="9"/>
        <v>#NUM!</v>
      </c>
      <c r="R9" s="38" t="e">
        <f t="shared" si="9"/>
        <v>#NUM!</v>
      </c>
      <c r="S9" s="16" t="e">
        <f>IF(ISBLANK(S22),O9,PERCENTILE(S19:S100018,0.05))</f>
        <v>#NUM!</v>
      </c>
      <c r="T9" s="17" t="e">
        <f>IF(ISBLANK(T22),P9,PERCENTILE(T19:T100018,0.05))</f>
        <v>#NUM!</v>
      </c>
      <c r="U9" s="19" t="e">
        <f>IF(ISBLANK(U19),Q9,MAX(PERCENTILE(U19:U100018,0.05),0.0001))</f>
        <v>#NUM!</v>
      </c>
      <c r="V9" s="38" t="e">
        <f>IF(ISBLANK(V19),R9,MAX(PERCENTILE(V19:V100018,0.05),0.0001))</f>
        <v>#NUM!</v>
      </c>
      <c r="W9" s="16" t="e">
        <f t="shared" ref="W9:AU9" si="10">MAX(PERCENTILE(W19:W100018,0.05),0.0001)</f>
        <v>#NUM!</v>
      </c>
      <c r="X9" s="17" t="e">
        <f t="shared" si="10"/>
        <v>#NUM!</v>
      </c>
      <c r="Y9" s="19" t="e">
        <f t="shared" si="10"/>
        <v>#NUM!</v>
      </c>
      <c r="Z9" s="38" t="e">
        <f t="shared" si="10"/>
        <v>#NUM!</v>
      </c>
      <c r="AA9" s="16" t="e">
        <f t="shared" si="10"/>
        <v>#NUM!</v>
      </c>
      <c r="AB9" s="17" t="e">
        <f t="shared" si="10"/>
        <v>#NUM!</v>
      </c>
      <c r="AC9" s="19" t="e">
        <f t="shared" si="10"/>
        <v>#NUM!</v>
      </c>
      <c r="AD9" s="38" t="e">
        <f t="shared" si="10"/>
        <v>#NUM!</v>
      </c>
      <c r="AE9" s="16" t="e">
        <f t="shared" si="10"/>
        <v>#NUM!</v>
      </c>
      <c r="AF9" s="17" t="e">
        <f t="shared" si="10"/>
        <v>#NUM!</v>
      </c>
      <c r="AG9" s="19" t="e">
        <f t="shared" si="10"/>
        <v>#NUM!</v>
      </c>
      <c r="AH9" s="38" t="e">
        <f t="shared" si="10"/>
        <v>#NUM!</v>
      </c>
      <c r="AI9" s="16" t="e">
        <f t="shared" si="10"/>
        <v>#NUM!</v>
      </c>
      <c r="AJ9" s="17" t="e">
        <f t="shared" si="10"/>
        <v>#NUM!</v>
      </c>
      <c r="AK9" s="19" t="e">
        <f t="shared" si="10"/>
        <v>#NUM!</v>
      </c>
      <c r="AL9" s="38" t="e">
        <f t="shared" si="10"/>
        <v>#NUM!</v>
      </c>
      <c r="AM9" s="16" t="e">
        <f t="shared" si="10"/>
        <v>#NUM!</v>
      </c>
      <c r="AN9" s="17" t="e">
        <f t="shared" si="10"/>
        <v>#NUM!</v>
      </c>
      <c r="AO9" s="19" t="e">
        <f t="shared" si="10"/>
        <v>#NUM!</v>
      </c>
      <c r="AP9" s="38" t="e">
        <f t="shared" si="10"/>
        <v>#NUM!</v>
      </c>
      <c r="AQ9" s="19" t="e">
        <f t="shared" si="10"/>
        <v>#NUM!</v>
      </c>
      <c r="AR9" s="16" t="e">
        <f t="shared" si="10"/>
        <v>#NUM!</v>
      </c>
      <c r="AS9" s="19" t="e">
        <f t="shared" si="10"/>
        <v>#NUM!</v>
      </c>
      <c r="AT9" s="64" t="e">
        <f t="shared" si="10"/>
        <v>#NUM!</v>
      </c>
      <c r="AU9" s="17" t="e">
        <f t="shared" si="10"/>
        <v>#NUM!</v>
      </c>
      <c r="AV9" s="10" t="s">
        <v>50</v>
      </c>
      <c r="AY9" s="46" t="s">
        <v>100</v>
      </c>
      <c r="AZ9" s="47">
        <f t="shared" si="6"/>
        <v>0</v>
      </c>
      <c r="BA9" s="47">
        <f t="shared" si="7"/>
        <v>0</v>
      </c>
      <c r="BB9" s="47" t="e">
        <f t="shared" si="8"/>
        <v>#DIV/0!</v>
      </c>
    </row>
    <row r="10" spans="2:56" x14ac:dyDescent="0.2">
      <c r="B10" s="10" t="s">
        <v>51</v>
      </c>
      <c r="C10" s="16" t="e">
        <f t="shared" ref="C10:R10" si="11">PERCENTILE(C19:C100018,0.95)</f>
        <v>#NUM!</v>
      </c>
      <c r="D10" s="17" t="e">
        <f t="shared" si="11"/>
        <v>#NUM!</v>
      </c>
      <c r="E10" s="19" t="e">
        <f t="shared" si="11"/>
        <v>#NUM!</v>
      </c>
      <c r="F10" s="38" t="e">
        <f t="shared" si="11"/>
        <v>#NUM!</v>
      </c>
      <c r="G10" s="16" t="e">
        <f t="shared" si="11"/>
        <v>#NUM!</v>
      </c>
      <c r="H10" s="17" t="e">
        <f t="shared" si="11"/>
        <v>#NUM!</v>
      </c>
      <c r="I10" s="19" t="e">
        <f t="shared" si="11"/>
        <v>#NUM!</v>
      </c>
      <c r="J10" s="38" t="e">
        <f t="shared" si="11"/>
        <v>#NUM!</v>
      </c>
      <c r="K10" s="16" t="e">
        <f t="shared" si="11"/>
        <v>#NUM!</v>
      </c>
      <c r="L10" s="17" t="e">
        <f t="shared" si="11"/>
        <v>#NUM!</v>
      </c>
      <c r="M10" s="19" t="e">
        <f t="shared" si="11"/>
        <v>#NUM!</v>
      </c>
      <c r="N10" s="38" t="e">
        <f t="shared" si="11"/>
        <v>#NUM!</v>
      </c>
      <c r="O10" s="16" t="e">
        <f t="shared" si="11"/>
        <v>#NUM!</v>
      </c>
      <c r="P10" s="17" t="e">
        <f t="shared" si="11"/>
        <v>#NUM!</v>
      </c>
      <c r="Q10" s="19" t="e">
        <f t="shared" si="11"/>
        <v>#NUM!</v>
      </c>
      <c r="R10" s="38" t="e">
        <f t="shared" si="11"/>
        <v>#NUM!</v>
      </c>
      <c r="S10" s="16" t="e">
        <f>IF(ISBLANK(S23),O10,PERCENTILE(S19:S100018,0.95))</f>
        <v>#NUM!</v>
      </c>
      <c r="T10" s="17" t="e">
        <f>IF(ISBLANK(T23),P10,PERCENTILE(T19:T100018,0.95))</f>
        <v>#NUM!</v>
      </c>
      <c r="U10" s="19" t="e">
        <f>IF(ISBLANK(U23),Q10,PERCENTILE(U19:U100018,0.95))</f>
        <v>#NUM!</v>
      </c>
      <c r="V10" s="38" t="e">
        <f>IF(ISBLANK(V23),R10,PERCENTILE(V19:V100018,0.95))</f>
        <v>#NUM!</v>
      </c>
      <c r="W10" s="16" t="e">
        <f t="shared" ref="W10:AU10" si="12">MAX(PERCENTILE(W19:W100018,0.95),0.0001)</f>
        <v>#NUM!</v>
      </c>
      <c r="X10" s="17" t="e">
        <f t="shared" si="12"/>
        <v>#NUM!</v>
      </c>
      <c r="Y10" s="19" t="e">
        <f t="shared" si="12"/>
        <v>#NUM!</v>
      </c>
      <c r="Z10" s="38" t="e">
        <f t="shared" si="12"/>
        <v>#NUM!</v>
      </c>
      <c r="AA10" s="16" t="e">
        <f t="shared" si="12"/>
        <v>#NUM!</v>
      </c>
      <c r="AB10" s="17" t="e">
        <f t="shared" si="12"/>
        <v>#NUM!</v>
      </c>
      <c r="AC10" s="19" t="e">
        <f t="shared" si="12"/>
        <v>#NUM!</v>
      </c>
      <c r="AD10" s="38" t="e">
        <f t="shared" si="12"/>
        <v>#NUM!</v>
      </c>
      <c r="AE10" s="16" t="e">
        <f t="shared" si="12"/>
        <v>#NUM!</v>
      </c>
      <c r="AF10" s="17" t="e">
        <f t="shared" si="12"/>
        <v>#NUM!</v>
      </c>
      <c r="AG10" s="19" t="e">
        <f t="shared" si="12"/>
        <v>#NUM!</v>
      </c>
      <c r="AH10" s="38" t="e">
        <f t="shared" si="12"/>
        <v>#NUM!</v>
      </c>
      <c r="AI10" s="16" t="e">
        <f t="shared" si="12"/>
        <v>#NUM!</v>
      </c>
      <c r="AJ10" s="17" t="e">
        <f t="shared" si="12"/>
        <v>#NUM!</v>
      </c>
      <c r="AK10" s="19" t="e">
        <f t="shared" si="12"/>
        <v>#NUM!</v>
      </c>
      <c r="AL10" s="38" t="e">
        <f t="shared" si="12"/>
        <v>#NUM!</v>
      </c>
      <c r="AM10" s="16" t="e">
        <f t="shared" si="12"/>
        <v>#NUM!</v>
      </c>
      <c r="AN10" s="17" t="e">
        <f t="shared" si="12"/>
        <v>#NUM!</v>
      </c>
      <c r="AO10" s="19" t="e">
        <f t="shared" si="12"/>
        <v>#NUM!</v>
      </c>
      <c r="AP10" s="38" t="e">
        <f t="shared" si="12"/>
        <v>#NUM!</v>
      </c>
      <c r="AQ10" s="19" t="e">
        <f t="shared" si="12"/>
        <v>#NUM!</v>
      </c>
      <c r="AR10" s="16" t="e">
        <f t="shared" si="12"/>
        <v>#NUM!</v>
      </c>
      <c r="AS10" s="19" t="e">
        <f t="shared" si="12"/>
        <v>#NUM!</v>
      </c>
      <c r="AT10" s="64" t="e">
        <f t="shared" si="12"/>
        <v>#NUM!</v>
      </c>
      <c r="AU10" s="17" t="e">
        <f t="shared" si="12"/>
        <v>#NUM!</v>
      </c>
      <c r="AV10" s="10" t="s">
        <v>51</v>
      </c>
      <c r="AY10" s="46" t="s">
        <v>35</v>
      </c>
      <c r="AZ10" s="47">
        <f t="shared" si="6"/>
        <v>0</v>
      </c>
      <c r="BA10" s="47">
        <f t="shared" si="7"/>
        <v>0</v>
      </c>
      <c r="BB10" s="47" t="e">
        <f t="shared" si="8"/>
        <v>#DIV/0!</v>
      </c>
    </row>
    <row r="11" spans="2:56" x14ac:dyDescent="0.2">
      <c r="B11" s="10" t="s">
        <v>67</v>
      </c>
      <c r="C11" s="16">
        <f t="shared" ref="C11:R11" si="13">MIN(C19:C100018)</f>
        <v>0</v>
      </c>
      <c r="D11" s="17">
        <f t="shared" si="13"/>
        <v>0</v>
      </c>
      <c r="E11" s="18">
        <f t="shared" si="13"/>
        <v>0</v>
      </c>
      <c r="F11" s="38">
        <f t="shared" si="13"/>
        <v>0</v>
      </c>
      <c r="G11" s="16">
        <f t="shared" si="13"/>
        <v>0</v>
      </c>
      <c r="H11" s="17">
        <f t="shared" si="13"/>
        <v>0</v>
      </c>
      <c r="I11" s="18">
        <f t="shared" si="13"/>
        <v>0</v>
      </c>
      <c r="J11" s="38">
        <f t="shared" si="13"/>
        <v>0</v>
      </c>
      <c r="K11" s="16">
        <f t="shared" si="13"/>
        <v>0</v>
      </c>
      <c r="L11" s="17">
        <f t="shared" si="13"/>
        <v>0</v>
      </c>
      <c r="M11" s="18">
        <f t="shared" si="13"/>
        <v>0</v>
      </c>
      <c r="N11" s="38">
        <f t="shared" si="13"/>
        <v>0</v>
      </c>
      <c r="O11" s="16">
        <f t="shared" si="13"/>
        <v>0</v>
      </c>
      <c r="P11" s="17">
        <f t="shared" si="13"/>
        <v>0</v>
      </c>
      <c r="Q11" s="18">
        <f t="shared" si="13"/>
        <v>0</v>
      </c>
      <c r="R11" s="38">
        <f t="shared" si="13"/>
        <v>0</v>
      </c>
      <c r="S11" s="16">
        <f>IF(ISBLANK(S24),O11,MIN(S19:S100018))</f>
        <v>0</v>
      </c>
      <c r="T11" s="17">
        <f>IF(ISBLANK(T24),P11,MIN(T19:T100018))</f>
        <v>0</v>
      </c>
      <c r="U11" s="18">
        <f t="shared" ref="U11:AU11" si="14">MIN(U19:U100018)</f>
        <v>0</v>
      </c>
      <c r="V11" s="38">
        <f t="shared" si="14"/>
        <v>0</v>
      </c>
      <c r="W11" s="16">
        <f t="shared" si="14"/>
        <v>0</v>
      </c>
      <c r="X11" s="17">
        <f t="shared" si="14"/>
        <v>0</v>
      </c>
      <c r="Y11" s="18">
        <f t="shared" si="14"/>
        <v>0</v>
      </c>
      <c r="Z11" s="38">
        <f t="shared" si="14"/>
        <v>0</v>
      </c>
      <c r="AA11" s="16">
        <f t="shared" si="14"/>
        <v>0</v>
      </c>
      <c r="AB11" s="17">
        <f t="shared" si="14"/>
        <v>0</v>
      </c>
      <c r="AC11" s="18">
        <f t="shared" si="14"/>
        <v>0</v>
      </c>
      <c r="AD11" s="38">
        <f t="shared" si="14"/>
        <v>0</v>
      </c>
      <c r="AE11" s="16">
        <f t="shared" si="14"/>
        <v>0</v>
      </c>
      <c r="AF11" s="17">
        <f t="shared" si="14"/>
        <v>0</v>
      </c>
      <c r="AG11" s="18">
        <f t="shared" si="14"/>
        <v>0</v>
      </c>
      <c r="AH11" s="38">
        <f t="shared" si="14"/>
        <v>0</v>
      </c>
      <c r="AI11" s="16">
        <f t="shared" si="14"/>
        <v>0</v>
      </c>
      <c r="AJ11" s="17">
        <f t="shared" si="14"/>
        <v>0</v>
      </c>
      <c r="AK11" s="18">
        <f t="shared" si="14"/>
        <v>0</v>
      </c>
      <c r="AL11" s="38">
        <f t="shared" si="14"/>
        <v>0</v>
      </c>
      <c r="AM11" s="16">
        <f t="shared" si="14"/>
        <v>0</v>
      </c>
      <c r="AN11" s="17">
        <f t="shared" si="14"/>
        <v>0</v>
      </c>
      <c r="AO11" s="18">
        <f t="shared" si="14"/>
        <v>0</v>
      </c>
      <c r="AP11" s="38">
        <f t="shared" si="14"/>
        <v>0</v>
      </c>
      <c r="AQ11" s="18">
        <f t="shared" si="14"/>
        <v>0</v>
      </c>
      <c r="AR11" s="16">
        <f t="shared" si="14"/>
        <v>0</v>
      </c>
      <c r="AS11" s="18">
        <f t="shared" si="14"/>
        <v>0</v>
      </c>
      <c r="AT11" s="63">
        <f t="shared" si="14"/>
        <v>0</v>
      </c>
      <c r="AU11" s="17">
        <f t="shared" si="14"/>
        <v>0</v>
      </c>
      <c r="AV11" s="10" t="s">
        <v>67</v>
      </c>
      <c r="AY11" s="46" t="s">
        <v>101</v>
      </c>
      <c r="AZ11" s="47">
        <f t="shared" si="6"/>
        <v>0</v>
      </c>
      <c r="BA11" s="47">
        <f t="shared" si="7"/>
        <v>0</v>
      </c>
      <c r="BB11" s="47" t="e">
        <f t="shared" si="8"/>
        <v>#DIV/0!</v>
      </c>
    </row>
    <row r="12" spans="2:56" x14ac:dyDescent="0.2">
      <c r="B12" s="10" t="s">
        <v>68</v>
      </c>
      <c r="C12" s="16">
        <f t="shared" ref="C12:R12" si="15">MAX(C19:C100018)</f>
        <v>0</v>
      </c>
      <c r="D12" s="17">
        <f t="shared" si="15"/>
        <v>0</v>
      </c>
      <c r="E12" s="18">
        <f t="shared" si="15"/>
        <v>0</v>
      </c>
      <c r="F12" s="38">
        <f t="shared" si="15"/>
        <v>0</v>
      </c>
      <c r="G12" s="16">
        <f t="shared" si="15"/>
        <v>0</v>
      </c>
      <c r="H12" s="17">
        <f t="shared" si="15"/>
        <v>0</v>
      </c>
      <c r="I12" s="18">
        <f t="shared" si="15"/>
        <v>0</v>
      </c>
      <c r="J12" s="38">
        <f t="shared" si="15"/>
        <v>0</v>
      </c>
      <c r="K12" s="16">
        <f t="shared" si="15"/>
        <v>0</v>
      </c>
      <c r="L12" s="17">
        <f t="shared" si="15"/>
        <v>0</v>
      </c>
      <c r="M12" s="18">
        <f t="shared" si="15"/>
        <v>0</v>
      </c>
      <c r="N12" s="38">
        <f t="shared" si="15"/>
        <v>0</v>
      </c>
      <c r="O12" s="16">
        <f t="shared" si="15"/>
        <v>0</v>
      </c>
      <c r="P12" s="17">
        <f t="shared" si="15"/>
        <v>0</v>
      </c>
      <c r="Q12" s="18">
        <f t="shared" si="15"/>
        <v>0</v>
      </c>
      <c r="R12" s="38">
        <f t="shared" si="15"/>
        <v>0</v>
      </c>
      <c r="S12" s="16">
        <f>IF(ISBLANK(S25),O12,MAX(S19:S100018))</f>
        <v>0</v>
      </c>
      <c r="T12" s="17">
        <f>IF(ISBLANK(T25),P12,MAX(T19:T100018))</f>
        <v>0</v>
      </c>
      <c r="U12" s="18">
        <f>IF(ISBLANK(U25),Q12,MAX(U19:U100018))</f>
        <v>0</v>
      </c>
      <c r="V12" s="38">
        <f>IF(ISBLANK(V25),R12,MAX(V19:V100018))</f>
        <v>0</v>
      </c>
      <c r="W12" s="16">
        <f t="shared" ref="W12:AU12" si="16">MAX(W19:W100018)</f>
        <v>0</v>
      </c>
      <c r="X12" s="17">
        <f t="shared" si="16"/>
        <v>0</v>
      </c>
      <c r="Y12" s="18">
        <f t="shared" si="16"/>
        <v>0</v>
      </c>
      <c r="Z12" s="38">
        <f t="shared" si="16"/>
        <v>0</v>
      </c>
      <c r="AA12" s="16">
        <f t="shared" si="16"/>
        <v>0</v>
      </c>
      <c r="AB12" s="17">
        <f t="shared" si="16"/>
        <v>0</v>
      </c>
      <c r="AC12" s="18">
        <f t="shared" si="16"/>
        <v>0</v>
      </c>
      <c r="AD12" s="38">
        <f t="shared" si="16"/>
        <v>0</v>
      </c>
      <c r="AE12" s="16">
        <f t="shared" si="16"/>
        <v>0</v>
      </c>
      <c r="AF12" s="17">
        <f t="shared" si="16"/>
        <v>0</v>
      </c>
      <c r="AG12" s="18">
        <f t="shared" si="16"/>
        <v>0</v>
      </c>
      <c r="AH12" s="38">
        <f t="shared" si="16"/>
        <v>0</v>
      </c>
      <c r="AI12" s="16">
        <f t="shared" si="16"/>
        <v>0</v>
      </c>
      <c r="AJ12" s="17">
        <f t="shared" si="16"/>
        <v>0</v>
      </c>
      <c r="AK12" s="18">
        <f t="shared" si="16"/>
        <v>0</v>
      </c>
      <c r="AL12" s="38">
        <f t="shared" si="16"/>
        <v>0</v>
      </c>
      <c r="AM12" s="16">
        <f t="shared" si="16"/>
        <v>0</v>
      </c>
      <c r="AN12" s="17">
        <f t="shared" si="16"/>
        <v>0</v>
      </c>
      <c r="AO12" s="18">
        <f t="shared" si="16"/>
        <v>0</v>
      </c>
      <c r="AP12" s="38">
        <f t="shared" si="16"/>
        <v>0</v>
      </c>
      <c r="AQ12" s="18">
        <f t="shared" si="16"/>
        <v>0</v>
      </c>
      <c r="AR12" s="16">
        <f t="shared" si="16"/>
        <v>0</v>
      </c>
      <c r="AS12" s="18">
        <f t="shared" si="16"/>
        <v>0</v>
      </c>
      <c r="AT12" s="63">
        <f t="shared" si="16"/>
        <v>0</v>
      </c>
      <c r="AU12" s="17">
        <f t="shared" si="16"/>
        <v>0</v>
      </c>
      <c r="AV12" s="10" t="s">
        <v>68</v>
      </c>
      <c r="AY12" s="46" t="s">
        <v>102</v>
      </c>
      <c r="AZ12" s="47">
        <f t="shared" si="6"/>
        <v>0</v>
      </c>
      <c r="BA12" s="47">
        <f t="shared" si="7"/>
        <v>0</v>
      </c>
      <c r="BB12" s="47" t="e">
        <f t="shared" si="8"/>
        <v>#DIV/0!</v>
      </c>
    </row>
    <row r="13" spans="2:56" x14ac:dyDescent="0.2">
      <c r="B13" s="10" t="s">
        <v>69</v>
      </c>
      <c r="C13" s="16" t="e">
        <f t="shared" ref="C13:R13" si="17">PERCENTILE(C19:C100018,0.01)</f>
        <v>#NUM!</v>
      </c>
      <c r="D13" s="17" t="e">
        <f t="shared" si="17"/>
        <v>#NUM!</v>
      </c>
      <c r="E13" s="18" t="e">
        <f t="shared" si="17"/>
        <v>#NUM!</v>
      </c>
      <c r="F13" s="38" t="e">
        <f t="shared" si="17"/>
        <v>#NUM!</v>
      </c>
      <c r="G13" s="16" t="e">
        <f t="shared" si="17"/>
        <v>#NUM!</v>
      </c>
      <c r="H13" s="17" t="e">
        <f t="shared" si="17"/>
        <v>#NUM!</v>
      </c>
      <c r="I13" s="18" t="e">
        <f t="shared" si="17"/>
        <v>#NUM!</v>
      </c>
      <c r="J13" s="38" t="e">
        <f t="shared" si="17"/>
        <v>#NUM!</v>
      </c>
      <c r="K13" s="16" t="e">
        <f t="shared" si="17"/>
        <v>#NUM!</v>
      </c>
      <c r="L13" s="17" t="e">
        <f t="shared" si="17"/>
        <v>#NUM!</v>
      </c>
      <c r="M13" s="18" t="e">
        <f t="shared" si="17"/>
        <v>#NUM!</v>
      </c>
      <c r="N13" s="38" t="e">
        <f t="shared" si="17"/>
        <v>#NUM!</v>
      </c>
      <c r="O13" s="16" t="e">
        <f t="shared" si="17"/>
        <v>#NUM!</v>
      </c>
      <c r="P13" s="17" t="e">
        <f t="shared" si="17"/>
        <v>#NUM!</v>
      </c>
      <c r="Q13" s="18" t="e">
        <f t="shared" si="17"/>
        <v>#NUM!</v>
      </c>
      <c r="R13" s="38" t="e">
        <f t="shared" si="17"/>
        <v>#NUM!</v>
      </c>
      <c r="S13" s="16" t="e">
        <f>IF(ISBLANK(S26),O13,PERCENTILE(S19:S100018,0.01))</f>
        <v>#NUM!</v>
      </c>
      <c r="T13" s="17" t="e">
        <f>IF(ISBLANK(T26),P13,PERCENTILE(T19:T100018,0.01))</f>
        <v>#NUM!</v>
      </c>
      <c r="U13" s="18" t="e">
        <f>IF(ISBLANK(U26),Q13,PERCENTILE(U19:U100018,0.01))</f>
        <v>#NUM!</v>
      </c>
      <c r="V13" s="38" t="e">
        <f>IF(ISBLANK(V26),R13,PERCENTILE(V19:V100018,0.01))</f>
        <v>#NUM!</v>
      </c>
      <c r="W13" s="16" t="e">
        <f t="shared" ref="W13:AU13" si="18">PERCENTILE(W19:W100018,0.01)</f>
        <v>#NUM!</v>
      </c>
      <c r="X13" s="17" t="e">
        <f t="shared" si="18"/>
        <v>#NUM!</v>
      </c>
      <c r="Y13" s="18" t="e">
        <f t="shared" si="18"/>
        <v>#NUM!</v>
      </c>
      <c r="Z13" s="38" t="e">
        <f t="shared" si="18"/>
        <v>#NUM!</v>
      </c>
      <c r="AA13" s="16" t="e">
        <f t="shared" si="18"/>
        <v>#NUM!</v>
      </c>
      <c r="AB13" s="17" t="e">
        <f t="shared" si="18"/>
        <v>#NUM!</v>
      </c>
      <c r="AC13" s="18" t="e">
        <f t="shared" si="18"/>
        <v>#NUM!</v>
      </c>
      <c r="AD13" s="38" t="e">
        <f t="shared" si="18"/>
        <v>#NUM!</v>
      </c>
      <c r="AE13" s="16" t="e">
        <f t="shared" si="18"/>
        <v>#NUM!</v>
      </c>
      <c r="AF13" s="17" t="e">
        <f t="shared" si="18"/>
        <v>#NUM!</v>
      </c>
      <c r="AG13" s="18" t="e">
        <f t="shared" si="18"/>
        <v>#NUM!</v>
      </c>
      <c r="AH13" s="38" t="e">
        <f t="shared" si="18"/>
        <v>#NUM!</v>
      </c>
      <c r="AI13" s="16" t="e">
        <f t="shared" si="18"/>
        <v>#NUM!</v>
      </c>
      <c r="AJ13" s="17" t="e">
        <f t="shared" si="18"/>
        <v>#NUM!</v>
      </c>
      <c r="AK13" s="18" t="e">
        <f t="shared" si="18"/>
        <v>#NUM!</v>
      </c>
      <c r="AL13" s="38" t="e">
        <f t="shared" si="18"/>
        <v>#NUM!</v>
      </c>
      <c r="AM13" s="16" t="e">
        <f t="shared" si="18"/>
        <v>#NUM!</v>
      </c>
      <c r="AN13" s="17" t="e">
        <f t="shared" si="18"/>
        <v>#NUM!</v>
      </c>
      <c r="AO13" s="18" t="e">
        <f t="shared" si="18"/>
        <v>#NUM!</v>
      </c>
      <c r="AP13" s="38" t="e">
        <f t="shared" si="18"/>
        <v>#NUM!</v>
      </c>
      <c r="AQ13" s="18" t="e">
        <f t="shared" si="18"/>
        <v>#NUM!</v>
      </c>
      <c r="AR13" s="16" t="e">
        <f t="shared" si="18"/>
        <v>#NUM!</v>
      </c>
      <c r="AS13" s="18" t="e">
        <f t="shared" si="18"/>
        <v>#NUM!</v>
      </c>
      <c r="AT13" s="63" t="e">
        <f t="shared" si="18"/>
        <v>#NUM!</v>
      </c>
      <c r="AU13" s="17" t="e">
        <f t="shared" si="18"/>
        <v>#NUM!</v>
      </c>
      <c r="AV13" s="10" t="s">
        <v>69</v>
      </c>
      <c r="AY13" s="46" t="s">
        <v>103</v>
      </c>
      <c r="AZ13" s="47">
        <f t="shared" si="6"/>
        <v>0</v>
      </c>
      <c r="BA13" s="47">
        <f t="shared" si="7"/>
        <v>0</v>
      </c>
      <c r="BB13" s="47" t="e">
        <f t="shared" si="8"/>
        <v>#DIV/0!</v>
      </c>
    </row>
    <row r="14" spans="2:56" x14ac:dyDescent="0.2">
      <c r="B14" s="10" t="s">
        <v>70</v>
      </c>
      <c r="C14" s="16" t="e">
        <f t="shared" ref="C14:R14" si="19">PERCENTILE(C19:C100018,0.1)</f>
        <v>#NUM!</v>
      </c>
      <c r="D14" s="17" t="e">
        <f t="shared" si="19"/>
        <v>#NUM!</v>
      </c>
      <c r="E14" s="18" t="e">
        <f t="shared" si="19"/>
        <v>#NUM!</v>
      </c>
      <c r="F14" s="38" t="e">
        <f t="shared" si="19"/>
        <v>#NUM!</v>
      </c>
      <c r="G14" s="16" t="e">
        <f t="shared" si="19"/>
        <v>#NUM!</v>
      </c>
      <c r="H14" s="17" t="e">
        <f t="shared" si="19"/>
        <v>#NUM!</v>
      </c>
      <c r="I14" s="18" t="e">
        <f t="shared" si="19"/>
        <v>#NUM!</v>
      </c>
      <c r="J14" s="38" t="e">
        <f t="shared" si="19"/>
        <v>#NUM!</v>
      </c>
      <c r="K14" s="16" t="e">
        <f t="shared" si="19"/>
        <v>#NUM!</v>
      </c>
      <c r="L14" s="17" t="e">
        <f t="shared" si="19"/>
        <v>#NUM!</v>
      </c>
      <c r="M14" s="18" t="e">
        <f t="shared" si="19"/>
        <v>#NUM!</v>
      </c>
      <c r="N14" s="38" t="e">
        <f t="shared" si="19"/>
        <v>#NUM!</v>
      </c>
      <c r="O14" s="16" t="e">
        <f t="shared" si="19"/>
        <v>#NUM!</v>
      </c>
      <c r="P14" s="17" t="e">
        <f t="shared" si="19"/>
        <v>#NUM!</v>
      </c>
      <c r="Q14" s="18" t="e">
        <f t="shared" si="19"/>
        <v>#NUM!</v>
      </c>
      <c r="R14" s="38" t="e">
        <f t="shared" si="19"/>
        <v>#NUM!</v>
      </c>
      <c r="S14" s="16" t="e">
        <f>IF(ISBLANK(S27),O14,PERCENTILE(S19:S100018,0.1))</f>
        <v>#NUM!</v>
      </c>
      <c r="T14" s="17" t="e">
        <f>IF(ISBLANK(T27),P14,PERCENTILE(T19:T100018,0.1))</f>
        <v>#NUM!</v>
      </c>
      <c r="U14" s="18" t="e">
        <f>IF(ISBLANK(U27),Q14,PERCENTILE(U19:U100018,0.1))</f>
        <v>#NUM!</v>
      </c>
      <c r="V14" s="38" t="e">
        <f>IF(ISBLANK(V27),R14,PERCENTILE(V19:V100018,0.1))</f>
        <v>#NUM!</v>
      </c>
      <c r="W14" s="16" t="e">
        <f t="shared" ref="W14:AU14" si="20">PERCENTILE(W19:W100018,0.1)</f>
        <v>#NUM!</v>
      </c>
      <c r="X14" s="17" t="e">
        <f t="shared" si="20"/>
        <v>#NUM!</v>
      </c>
      <c r="Y14" s="18" t="e">
        <f t="shared" si="20"/>
        <v>#NUM!</v>
      </c>
      <c r="Z14" s="38" t="e">
        <f t="shared" si="20"/>
        <v>#NUM!</v>
      </c>
      <c r="AA14" s="16" t="e">
        <f t="shared" si="20"/>
        <v>#NUM!</v>
      </c>
      <c r="AB14" s="17" t="e">
        <f t="shared" si="20"/>
        <v>#NUM!</v>
      </c>
      <c r="AC14" s="18" t="e">
        <f t="shared" si="20"/>
        <v>#NUM!</v>
      </c>
      <c r="AD14" s="38" t="e">
        <f t="shared" si="20"/>
        <v>#NUM!</v>
      </c>
      <c r="AE14" s="16" t="e">
        <f t="shared" si="20"/>
        <v>#NUM!</v>
      </c>
      <c r="AF14" s="17" t="e">
        <f t="shared" si="20"/>
        <v>#NUM!</v>
      </c>
      <c r="AG14" s="18" t="e">
        <f t="shared" si="20"/>
        <v>#NUM!</v>
      </c>
      <c r="AH14" s="38" t="e">
        <f t="shared" si="20"/>
        <v>#NUM!</v>
      </c>
      <c r="AI14" s="16" t="e">
        <f t="shared" si="20"/>
        <v>#NUM!</v>
      </c>
      <c r="AJ14" s="17" t="e">
        <f t="shared" si="20"/>
        <v>#NUM!</v>
      </c>
      <c r="AK14" s="18" t="e">
        <f t="shared" si="20"/>
        <v>#NUM!</v>
      </c>
      <c r="AL14" s="38" t="e">
        <f t="shared" si="20"/>
        <v>#NUM!</v>
      </c>
      <c r="AM14" s="16" t="e">
        <f t="shared" si="20"/>
        <v>#NUM!</v>
      </c>
      <c r="AN14" s="17" t="e">
        <f t="shared" si="20"/>
        <v>#NUM!</v>
      </c>
      <c r="AO14" s="18" t="e">
        <f t="shared" si="20"/>
        <v>#NUM!</v>
      </c>
      <c r="AP14" s="38" t="e">
        <f t="shared" si="20"/>
        <v>#NUM!</v>
      </c>
      <c r="AQ14" s="18" t="e">
        <f t="shared" si="20"/>
        <v>#NUM!</v>
      </c>
      <c r="AR14" s="16" t="e">
        <f t="shared" si="20"/>
        <v>#NUM!</v>
      </c>
      <c r="AS14" s="18" t="e">
        <f t="shared" si="20"/>
        <v>#NUM!</v>
      </c>
      <c r="AT14" s="63" t="e">
        <f t="shared" si="20"/>
        <v>#NUM!</v>
      </c>
      <c r="AU14" s="17" t="e">
        <f t="shared" si="20"/>
        <v>#NUM!</v>
      </c>
      <c r="AV14" s="10" t="s">
        <v>70</v>
      </c>
      <c r="AY14" s="46" t="s">
        <v>104</v>
      </c>
      <c r="AZ14" s="47">
        <f t="shared" si="6"/>
        <v>0</v>
      </c>
      <c r="BA14" s="47">
        <f t="shared" si="7"/>
        <v>0</v>
      </c>
      <c r="BB14" s="47" t="e">
        <f t="shared" si="8"/>
        <v>#DIV/0!</v>
      </c>
    </row>
    <row r="15" spans="2:56" x14ac:dyDescent="0.2">
      <c r="B15" s="10" t="s">
        <v>71</v>
      </c>
      <c r="C15" s="16" t="e">
        <f t="shared" ref="C15:R15" si="21">PERCENTILE(C19:C100018,0.25)</f>
        <v>#NUM!</v>
      </c>
      <c r="D15" s="17" t="e">
        <f t="shared" si="21"/>
        <v>#NUM!</v>
      </c>
      <c r="E15" s="18" t="e">
        <f t="shared" si="21"/>
        <v>#NUM!</v>
      </c>
      <c r="F15" s="38" t="e">
        <f t="shared" si="21"/>
        <v>#NUM!</v>
      </c>
      <c r="G15" s="16" t="e">
        <f t="shared" si="21"/>
        <v>#NUM!</v>
      </c>
      <c r="H15" s="17" t="e">
        <f t="shared" si="21"/>
        <v>#NUM!</v>
      </c>
      <c r="I15" s="18" t="e">
        <f t="shared" si="21"/>
        <v>#NUM!</v>
      </c>
      <c r="J15" s="38" t="e">
        <f t="shared" si="21"/>
        <v>#NUM!</v>
      </c>
      <c r="K15" s="16" t="e">
        <f t="shared" si="21"/>
        <v>#NUM!</v>
      </c>
      <c r="L15" s="17" t="e">
        <f t="shared" si="21"/>
        <v>#NUM!</v>
      </c>
      <c r="M15" s="18" t="e">
        <f t="shared" si="21"/>
        <v>#NUM!</v>
      </c>
      <c r="N15" s="38" t="e">
        <f t="shared" si="21"/>
        <v>#NUM!</v>
      </c>
      <c r="O15" s="16" t="e">
        <f t="shared" si="21"/>
        <v>#NUM!</v>
      </c>
      <c r="P15" s="17" t="e">
        <f t="shared" si="21"/>
        <v>#NUM!</v>
      </c>
      <c r="Q15" s="18" t="e">
        <f t="shared" si="21"/>
        <v>#NUM!</v>
      </c>
      <c r="R15" s="38" t="e">
        <f t="shared" si="21"/>
        <v>#NUM!</v>
      </c>
      <c r="S15" s="16" t="e">
        <f>IF(ISBLANK(S28),O15,PERCENTILE(S19:S100018,0.25))</f>
        <v>#NUM!</v>
      </c>
      <c r="T15" s="17" t="e">
        <f>IF(ISBLANK(T28),P15,PERCENTILE(T19:T100018,0.25))</f>
        <v>#NUM!</v>
      </c>
      <c r="U15" s="18" t="e">
        <f>IF(ISBLANK(U28),Q15,PERCENTILE(U19:U100018,0.25))</f>
        <v>#NUM!</v>
      </c>
      <c r="V15" s="38" t="e">
        <f>IF(ISBLANK(V28),R15,PERCENTILE(V19:V100018,0.25))</f>
        <v>#NUM!</v>
      </c>
      <c r="W15" s="16" t="e">
        <f t="shared" ref="W15:AU15" si="22">PERCENTILE(W19:W100018,0.25)</f>
        <v>#NUM!</v>
      </c>
      <c r="X15" s="17" t="e">
        <f t="shared" si="22"/>
        <v>#NUM!</v>
      </c>
      <c r="Y15" s="18" t="e">
        <f t="shared" si="22"/>
        <v>#NUM!</v>
      </c>
      <c r="Z15" s="38" t="e">
        <f t="shared" si="22"/>
        <v>#NUM!</v>
      </c>
      <c r="AA15" s="16" t="e">
        <f t="shared" si="22"/>
        <v>#NUM!</v>
      </c>
      <c r="AB15" s="17" t="e">
        <f t="shared" si="22"/>
        <v>#NUM!</v>
      </c>
      <c r="AC15" s="18" t="e">
        <f t="shared" si="22"/>
        <v>#NUM!</v>
      </c>
      <c r="AD15" s="38" t="e">
        <f t="shared" si="22"/>
        <v>#NUM!</v>
      </c>
      <c r="AE15" s="16" t="e">
        <f t="shared" si="22"/>
        <v>#NUM!</v>
      </c>
      <c r="AF15" s="17" t="e">
        <f t="shared" si="22"/>
        <v>#NUM!</v>
      </c>
      <c r="AG15" s="18" t="e">
        <f t="shared" si="22"/>
        <v>#NUM!</v>
      </c>
      <c r="AH15" s="38" t="e">
        <f t="shared" si="22"/>
        <v>#NUM!</v>
      </c>
      <c r="AI15" s="16" t="e">
        <f t="shared" si="22"/>
        <v>#NUM!</v>
      </c>
      <c r="AJ15" s="17" t="e">
        <f t="shared" si="22"/>
        <v>#NUM!</v>
      </c>
      <c r="AK15" s="18" t="e">
        <f t="shared" si="22"/>
        <v>#NUM!</v>
      </c>
      <c r="AL15" s="38" t="e">
        <f t="shared" si="22"/>
        <v>#NUM!</v>
      </c>
      <c r="AM15" s="16" t="e">
        <f t="shared" si="22"/>
        <v>#NUM!</v>
      </c>
      <c r="AN15" s="17" t="e">
        <f t="shared" si="22"/>
        <v>#NUM!</v>
      </c>
      <c r="AO15" s="18" t="e">
        <f t="shared" si="22"/>
        <v>#NUM!</v>
      </c>
      <c r="AP15" s="38" t="e">
        <f t="shared" si="22"/>
        <v>#NUM!</v>
      </c>
      <c r="AQ15" s="18" t="e">
        <f t="shared" si="22"/>
        <v>#NUM!</v>
      </c>
      <c r="AR15" s="16" t="e">
        <f t="shared" si="22"/>
        <v>#NUM!</v>
      </c>
      <c r="AS15" s="18" t="e">
        <f t="shared" si="22"/>
        <v>#NUM!</v>
      </c>
      <c r="AT15" s="63" t="e">
        <f t="shared" si="22"/>
        <v>#NUM!</v>
      </c>
      <c r="AU15" s="17" t="e">
        <f t="shared" si="22"/>
        <v>#NUM!</v>
      </c>
      <c r="AV15" s="10" t="s">
        <v>71</v>
      </c>
      <c r="AY15" s="46" t="s">
        <v>105</v>
      </c>
      <c r="AZ15" s="47">
        <f t="shared" si="6"/>
        <v>0</v>
      </c>
      <c r="BA15" s="47">
        <f t="shared" si="7"/>
        <v>0</v>
      </c>
      <c r="BB15" s="50" t="e">
        <f t="shared" si="8"/>
        <v>#DIV/0!</v>
      </c>
    </row>
    <row r="16" spans="2:56" x14ac:dyDescent="0.2">
      <c r="B16" s="10" t="s">
        <v>72</v>
      </c>
      <c r="C16" s="16" t="e">
        <f t="shared" ref="C16:R16" si="23">PERCENTILE(C19:C100018,0.75)</f>
        <v>#NUM!</v>
      </c>
      <c r="D16" s="17" t="e">
        <f t="shared" si="23"/>
        <v>#NUM!</v>
      </c>
      <c r="E16" s="18" t="e">
        <f t="shared" si="23"/>
        <v>#NUM!</v>
      </c>
      <c r="F16" s="38" t="e">
        <f t="shared" si="23"/>
        <v>#NUM!</v>
      </c>
      <c r="G16" s="16" t="e">
        <f t="shared" si="23"/>
        <v>#NUM!</v>
      </c>
      <c r="H16" s="17" t="e">
        <f t="shared" si="23"/>
        <v>#NUM!</v>
      </c>
      <c r="I16" s="18" t="e">
        <f t="shared" si="23"/>
        <v>#NUM!</v>
      </c>
      <c r="J16" s="38" t="e">
        <f t="shared" si="23"/>
        <v>#NUM!</v>
      </c>
      <c r="K16" s="16" t="e">
        <f t="shared" si="23"/>
        <v>#NUM!</v>
      </c>
      <c r="L16" s="17" t="e">
        <f t="shared" si="23"/>
        <v>#NUM!</v>
      </c>
      <c r="M16" s="18" t="e">
        <f t="shared" si="23"/>
        <v>#NUM!</v>
      </c>
      <c r="N16" s="38" t="e">
        <f t="shared" si="23"/>
        <v>#NUM!</v>
      </c>
      <c r="O16" s="16" t="e">
        <f t="shared" si="23"/>
        <v>#NUM!</v>
      </c>
      <c r="P16" s="17" t="e">
        <f t="shared" si="23"/>
        <v>#NUM!</v>
      </c>
      <c r="Q16" s="18" t="e">
        <f t="shared" si="23"/>
        <v>#NUM!</v>
      </c>
      <c r="R16" s="38" t="e">
        <f t="shared" si="23"/>
        <v>#NUM!</v>
      </c>
      <c r="S16" s="16" t="e">
        <f>IF(ISBLANK(S29),O16,PERCENTILE(S19:S100018,0.75))</f>
        <v>#NUM!</v>
      </c>
      <c r="T16" s="17" t="e">
        <f>IF(ISBLANK(T29),P16,PERCENTILE(T19:T100018,0.75))</f>
        <v>#NUM!</v>
      </c>
      <c r="U16" s="18" t="e">
        <f>IF(ISBLANK(U29),Q16,PERCENTILE(U19:U100018,0.75))</f>
        <v>#NUM!</v>
      </c>
      <c r="V16" s="38" t="e">
        <f>IF(ISBLANK(V29),R16,PERCENTILE(V19:V100018,0.75))</f>
        <v>#NUM!</v>
      </c>
      <c r="W16" s="16" t="e">
        <f t="shared" ref="W16:AU16" si="24">PERCENTILE(W19:W100018,0.75)</f>
        <v>#NUM!</v>
      </c>
      <c r="X16" s="17" t="e">
        <f t="shared" si="24"/>
        <v>#NUM!</v>
      </c>
      <c r="Y16" s="18" t="e">
        <f t="shared" si="24"/>
        <v>#NUM!</v>
      </c>
      <c r="Z16" s="38" t="e">
        <f t="shared" si="24"/>
        <v>#NUM!</v>
      </c>
      <c r="AA16" s="16" t="e">
        <f t="shared" si="24"/>
        <v>#NUM!</v>
      </c>
      <c r="AB16" s="17" t="e">
        <f t="shared" si="24"/>
        <v>#NUM!</v>
      </c>
      <c r="AC16" s="18" t="e">
        <f t="shared" si="24"/>
        <v>#NUM!</v>
      </c>
      <c r="AD16" s="38" t="e">
        <f t="shared" si="24"/>
        <v>#NUM!</v>
      </c>
      <c r="AE16" s="16" t="e">
        <f t="shared" si="24"/>
        <v>#NUM!</v>
      </c>
      <c r="AF16" s="17" t="e">
        <f t="shared" si="24"/>
        <v>#NUM!</v>
      </c>
      <c r="AG16" s="18" t="e">
        <f t="shared" si="24"/>
        <v>#NUM!</v>
      </c>
      <c r="AH16" s="38" t="e">
        <f t="shared" si="24"/>
        <v>#NUM!</v>
      </c>
      <c r="AI16" s="16" t="e">
        <f t="shared" si="24"/>
        <v>#NUM!</v>
      </c>
      <c r="AJ16" s="17" t="e">
        <f t="shared" si="24"/>
        <v>#NUM!</v>
      </c>
      <c r="AK16" s="18" t="e">
        <f t="shared" si="24"/>
        <v>#NUM!</v>
      </c>
      <c r="AL16" s="38" t="e">
        <f t="shared" si="24"/>
        <v>#NUM!</v>
      </c>
      <c r="AM16" s="16" t="e">
        <f t="shared" si="24"/>
        <v>#NUM!</v>
      </c>
      <c r="AN16" s="17" t="e">
        <f t="shared" si="24"/>
        <v>#NUM!</v>
      </c>
      <c r="AO16" s="18" t="e">
        <f t="shared" si="24"/>
        <v>#NUM!</v>
      </c>
      <c r="AP16" s="38" t="e">
        <f t="shared" si="24"/>
        <v>#NUM!</v>
      </c>
      <c r="AQ16" s="18" t="e">
        <f t="shared" si="24"/>
        <v>#NUM!</v>
      </c>
      <c r="AR16" s="16" t="e">
        <f t="shared" si="24"/>
        <v>#NUM!</v>
      </c>
      <c r="AS16" s="18" t="e">
        <f t="shared" si="24"/>
        <v>#NUM!</v>
      </c>
      <c r="AT16" s="63" t="e">
        <f t="shared" si="24"/>
        <v>#NUM!</v>
      </c>
      <c r="AU16" s="17" t="e">
        <f t="shared" si="24"/>
        <v>#NUM!</v>
      </c>
      <c r="AV16" s="10" t="s">
        <v>72</v>
      </c>
      <c r="AY16" s="48" t="s">
        <v>11</v>
      </c>
      <c r="AZ16" s="49">
        <f>SUM(AZ7:AZ15)</f>
        <v>0</v>
      </c>
      <c r="BA16" s="42"/>
      <c r="BB16" s="44"/>
    </row>
    <row r="17" spans="2:61" x14ac:dyDescent="0.2">
      <c r="B17" s="10" t="s">
        <v>73</v>
      </c>
      <c r="C17" s="16" t="e">
        <f t="shared" ref="C17:R17" si="25">PERCENTILE(C19:C100018,0.9)</f>
        <v>#NUM!</v>
      </c>
      <c r="D17" s="17" t="e">
        <f t="shared" si="25"/>
        <v>#NUM!</v>
      </c>
      <c r="E17" s="18" t="e">
        <f t="shared" si="25"/>
        <v>#NUM!</v>
      </c>
      <c r="F17" s="38" t="e">
        <f t="shared" si="25"/>
        <v>#NUM!</v>
      </c>
      <c r="G17" s="16" t="e">
        <f t="shared" si="25"/>
        <v>#NUM!</v>
      </c>
      <c r="H17" s="17" t="e">
        <f t="shared" si="25"/>
        <v>#NUM!</v>
      </c>
      <c r="I17" s="18" t="e">
        <f t="shared" si="25"/>
        <v>#NUM!</v>
      </c>
      <c r="J17" s="38" t="e">
        <f t="shared" si="25"/>
        <v>#NUM!</v>
      </c>
      <c r="K17" s="16" t="e">
        <f t="shared" si="25"/>
        <v>#NUM!</v>
      </c>
      <c r="L17" s="17" t="e">
        <f t="shared" si="25"/>
        <v>#NUM!</v>
      </c>
      <c r="M17" s="18" t="e">
        <f t="shared" si="25"/>
        <v>#NUM!</v>
      </c>
      <c r="N17" s="38" t="e">
        <f t="shared" si="25"/>
        <v>#NUM!</v>
      </c>
      <c r="O17" s="16" t="e">
        <f t="shared" si="25"/>
        <v>#NUM!</v>
      </c>
      <c r="P17" s="17" t="e">
        <f t="shared" si="25"/>
        <v>#NUM!</v>
      </c>
      <c r="Q17" s="18" t="e">
        <f t="shared" si="25"/>
        <v>#NUM!</v>
      </c>
      <c r="R17" s="38" t="e">
        <f t="shared" si="25"/>
        <v>#NUM!</v>
      </c>
      <c r="S17" s="16" t="e">
        <f>IF(ISBLANK(S30),O17,PERCENTILE(S19:S100018,0.9))</f>
        <v>#NUM!</v>
      </c>
      <c r="T17" s="17" t="e">
        <f>IF(ISBLANK(T30),P17,PERCENTILE(T19:T100018,0.9))</f>
        <v>#NUM!</v>
      </c>
      <c r="U17" s="18" t="e">
        <f>IF(ISBLANK(U30),Q17,PERCENTILE(U19:U100018,0.9))</f>
        <v>#NUM!</v>
      </c>
      <c r="V17" s="38" t="e">
        <f>IF(ISBLANK(V30),R17,PERCENTILE(V19:V100018,0.9))</f>
        <v>#NUM!</v>
      </c>
      <c r="W17" s="16" t="e">
        <f t="shared" ref="W17:AU17" si="26">PERCENTILE(W19:W100018,0.9)</f>
        <v>#NUM!</v>
      </c>
      <c r="X17" s="17" t="e">
        <f t="shared" si="26"/>
        <v>#NUM!</v>
      </c>
      <c r="Y17" s="18" t="e">
        <f t="shared" si="26"/>
        <v>#NUM!</v>
      </c>
      <c r="Z17" s="38" t="e">
        <f t="shared" si="26"/>
        <v>#NUM!</v>
      </c>
      <c r="AA17" s="16" t="e">
        <f t="shared" si="26"/>
        <v>#NUM!</v>
      </c>
      <c r="AB17" s="17" t="e">
        <f t="shared" si="26"/>
        <v>#NUM!</v>
      </c>
      <c r="AC17" s="18" t="e">
        <f t="shared" si="26"/>
        <v>#NUM!</v>
      </c>
      <c r="AD17" s="38" t="e">
        <f t="shared" si="26"/>
        <v>#NUM!</v>
      </c>
      <c r="AE17" s="16" t="e">
        <f t="shared" si="26"/>
        <v>#NUM!</v>
      </c>
      <c r="AF17" s="17" t="e">
        <f t="shared" si="26"/>
        <v>#NUM!</v>
      </c>
      <c r="AG17" s="18" t="e">
        <f t="shared" si="26"/>
        <v>#NUM!</v>
      </c>
      <c r="AH17" s="38" t="e">
        <f t="shared" si="26"/>
        <v>#NUM!</v>
      </c>
      <c r="AI17" s="16" t="e">
        <f t="shared" si="26"/>
        <v>#NUM!</v>
      </c>
      <c r="AJ17" s="17" t="e">
        <f t="shared" si="26"/>
        <v>#NUM!</v>
      </c>
      <c r="AK17" s="18" t="e">
        <f t="shared" si="26"/>
        <v>#NUM!</v>
      </c>
      <c r="AL17" s="38" t="e">
        <f t="shared" si="26"/>
        <v>#NUM!</v>
      </c>
      <c r="AM17" s="16" t="e">
        <f t="shared" si="26"/>
        <v>#NUM!</v>
      </c>
      <c r="AN17" s="17" t="e">
        <f t="shared" si="26"/>
        <v>#NUM!</v>
      </c>
      <c r="AO17" s="18" t="e">
        <f t="shared" si="26"/>
        <v>#NUM!</v>
      </c>
      <c r="AP17" s="38" t="e">
        <f t="shared" si="26"/>
        <v>#NUM!</v>
      </c>
      <c r="AQ17" s="18" t="e">
        <f>PERCENTILE(AQ19:AQ100018,0.9)</f>
        <v>#NUM!</v>
      </c>
      <c r="AR17" s="16" t="e">
        <f t="shared" si="26"/>
        <v>#NUM!</v>
      </c>
      <c r="AS17" s="18" t="e">
        <f t="shared" si="26"/>
        <v>#NUM!</v>
      </c>
      <c r="AT17" s="63" t="e">
        <f t="shared" si="26"/>
        <v>#NUM!</v>
      </c>
      <c r="AU17" s="17" t="e">
        <f t="shared" si="26"/>
        <v>#NUM!</v>
      </c>
      <c r="AV17" s="10" t="s">
        <v>73</v>
      </c>
    </row>
    <row r="18" spans="2:61" x14ac:dyDescent="0.2">
      <c r="B18" s="10" t="s">
        <v>183</v>
      </c>
      <c r="C18" s="16" t="e">
        <f>PERCENTILE(C19:C100019,0.99)</f>
        <v>#NUM!</v>
      </c>
      <c r="D18" s="17" t="e">
        <f>PERCENTILE(D19:D100019,0.99)</f>
        <v>#NUM!</v>
      </c>
      <c r="E18" s="18" t="e">
        <f t="shared" ref="E18:AU18" si="27">PERCENTILE(E19:E100019,0.99)</f>
        <v>#NUM!</v>
      </c>
      <c r="F18" s="38" t="e">
        <f t="shared" si="27"/>
        <v>#NUM!</v>
      </c>
      <c r="G18" s="16" t="e">
        <f t="shared" si="27"/>
        <v>#NUM!</v>
      </c>
      <c r="H18" s="17" t="e">
        <f t="shared" si="27"/>
        <v>#NUM!</v>
      </c>
      <c r="I18" s="18" t="e">
        <f t="shared" si="27"/>
        <v>#NUM!</v>
      </c>
      <c r="J18" s="38" t="e">
        <f t="shared" si="27"/>
        <v>#NUM!</v>
      </c>
      <c r="K18" s="16" t="e">
        <f t="shared" si="27"/>
        <v>#NUM!</v>
      </c>
      <c r="L18" s="17" t="e">
        <f t="shared" si="27"/>
        <v>#NUM!</v>
      </c>
      <c r="M18" s="18" t="e">
        <f t="shared" si="27"/>
        <v>#NUM!</v>
      </c>
      <c r="N18" s="38" t="e">
        <f t="shared" si="27"/>
        <v>#NUM!</v>
      </c>
      <c r="O18" s="16" t="e">
        <f t="shared" si="27"/>
        <v>#NUM!</v>
      </c>
      <c r="P18" s="17" t="e">
        <f t="shared" si="27"/>
        <v>#NUM!</v>
      </c>
      <c r="Q18" s="18" t="e">
        <f t="shared" si="27"/>
        <v>#NUM!</v>
      </c>
      <c r="R18" s="38" t="e">
        <f t="shared" si="27"/>
        <v>#NUM!</v>
      </c>
      <c r="S18" s="16" t="e">
        <f>IF(ISBLANK(S31),O18,PERCENTILE(S19:S100018,0.9))</f>
        <v>#NUM!</v>
      </c>
      <c r="T18" s="17" t="e">
        <f>IF(ISBLANK(T31),P18,PERCENTILE(T19:T100018,0.9))</f>
        <v>#NUM!</v>
      </c>
      <c r="U18" s="18" t="e">
        <f>IF(ISBLANK(U31),Q18,PERCENTILE(U19:U100018,0.9))</f>
        <v>#NUM!</v>
      </c>
      <c r="V18" s="38" t="e">
        <f>IF(ISBLANK(V31),R18,PERCENTILE(V19:V100018,0.9))</f>
        <v>#NUM!</v>
      </c>
      <c r="W18" s="16" t="e">
        <f t="shared" si="27"/>
        <v>#NUM!</v>
      </c>
      <c r="X18" s="17" t="e">
        <f t="shared" si="27"/>
        <v>#NUM!</v>
      </c>
      <c r="Y18" s="18" t="e">
        <f t="shared" si="27"/>
        <v>#NUM!</v>
      </c>
      <c r="Z18" s="38" t="e">
        <f t="shared" si="27"/>
        <v>#NUM!</v>
      </c>
      <c r="AA18" s="16" t="e">
        <f t="shared" si="27"/>
        <v>#NUM!</v>
      </c>
      <c r="AB18" s="17" t="e">
        <f t="shared" si="27"/>
        <v>#NUM!</v>
      </c>
      <c r="AC18" s="18" t="e">
        <f t="shared" si="27"/>
        <v>#NUM!</v>
      </c>
      <c r="AD18" s="38" t="e">
        <f t="shared" si="27"/>
        <v>#NUM!</v>
      </c>
      <c r="AE18" s="16" t="e">
        <f t="shared" si="27"/>
        <v>#NUM!</v>
      </c>
      <c r="AF18" s="17" t="e">
        <f t="shared" si="27"/>
        <v>#NUM!</v>
      </c>
      <c r="AG18" s="18" t="e">
        <f t="shared" si="27"/>
        <v>#NUM!</v>
      </c>
      <c r="AH18" s="38" t="e">
        <f t="shared" si="27"/>
        <v>#NUM!</v>
      </c>
      <c r="AI18" s="16" t="e">
        <f t="shared" si="27"/>
        <v>#NUM!</v>
      </c>
      <c r="AJ18" s="17" t="e">
        <f t="shared" si="27"/>
        <v>#NUM!</v>
      </c>
      <c r="AK18" s="18" t="e">
        <f t="shared" si="27"/>
        <v>#NUM!</v>
      </c>
      <c r="AL18" s="38" t="e">
        <f t="shared" si="27"/>
        <v>#NUM!</v>
      </c>
      <c r="AM18" s="16" t="e">
        <f t="shared" si="27"/>
        <v>#NUM!</v>
      </c>
      <c r="AN18" s="17" t="e">
        <f t="shared" si="27"/>
        <v>#NUM!</v>
      </c>
      <c r="AO18" s="18" t="e">
        <f t="shared" si="27"/>
        <v>#NUM!</v>
      </c>
      <c r="AP18" s="38" t="e">
        <f t="shared" si="27"/>
        <v>#NUM!</v>
      </c>
      <c r="AQ18" s="18" t="e">
        <f t="shared" si="27"/>
        <v>#NUM!</v>
      </c>
      <c r="AR18" s="16" t="e">
        <f t="shared" si="27"/>
        <v>#NUM!</v>
      </c>
      <c r="AS18" s="18" t="e">
        <f t="shared" si="27"/>
        <v>#NUM!</v>
      </c>
      <c r="AT18" s="63" t="e">
        <f t="shared" si="27"/>
        <v>#NUM!</v>
      </c>
      <c r="AU18" s="17" t="e">
        <f t="shared" si="27"/>
        <v>#NUM!</v>
      </c>
      <c r="AV18" s="10"/>
    </row>
    <row r="24" spans="2:61" x14ac:dyDescent="0.2">
      <c r="BH24" s="109"/>
      <c r="BI24" s="109"/>
    </row>
    <row r="25" spans="2:61" x14ac:dyDescent="0.2">
      <c r="BH25" s="109"/>
      <c r="BI25" s="109"/>
    </row>
    <row r="26" spans="2:61" x14ac:dyDescent="0.2">
      <c r="BH26" s="109"/>
      <c r="BI26" s="109"/>
    </row>
    <row r="27" spans="2:61" x14ac:dyDescent="0.2">
      <c r="BH27" s="109"/>
      <c r="BI27" s="109"/>
    </row>
    <row r="28" spans="2:61" x14ac:dyDescent="0.2">
      <c r="BH28" s="109"/>
      <c r="BI28" s="109"/>
    </row>
    <row r="29" spans="2:61" x14ac:dyDescent="0.2">
      <c r="BH29" s="109"/>
      <c r="BI29" s="109"/>
    </row>
    <row r="30" spans="2:61" x14ac:dyDescent="0.2">
      <c r="BH30" s="109"/>
      <c r="BI30" s="109"/>
    </row>
    <row r="31" spans="2:61" x14ac:dyDescent="0.2">
      <c r="BH31" s="109"/>
      <c r="BI31" s="109"/>
    </row>
    <row r="32" spans="2:61" x14ac:dyDescent="0.2">
      <c r="BH32" s="109"/>
      <c r="BI32" s="109"/>
    </row>
    <row r="33" spans="60:61" x14ac:dyDescent="0.2">
      <c r="BH33" s="109"/>
      <c r="BI33" s="109"/>
    </row>
    <row r="34" spans="60:61" x14ac:dyDescent="0.2">
      <c r="BH34" s="109"/>
      <c r="BI34" s="109"/>
    </row>
    <row r="35" spans="60:61" x14ac:dyDescent="0.2">
      <c r="BH35" s="109"/>
      <c r="BI35" s="109"/>
    </row>
    <row r="36" spans="60:61" x14ac:dyDescent="0.2">
      <c r="BH36" s="109"/>
      <c r="BI36" s="109"/>
    </row>
    <row r="37" spans="60:61" x14ac:dyDescent="0.2">
      <c r="BH37" s="109"/>
      <c r="BI37" s="109"/>
    </row>
    <row r="38" spans="60:61" x14ac:dyDescent="0.2">
      <c r="BH38" s="109"/>
      <c r="BI38" s="109"/>
    </row>
    <row r="39" spans="60:61" x14ac:dyDescent="0.2">
      <c r="BH39" s="109"/>
      <c r="BI39" s="109"/>
    </row>
    <row r="40" spans="60:61" x14ac:dyDescent="0.2">
      <c r="BH40" s="109"/>
      <c r="BI40" s="109"/>
    </row>
    <row r="41" spans="60:61" x14ac:dyDescent="0.2">
      <c r="BH41" s="109"/>
      <c r="BI41" s="109"/>
    </row>
    <row r="42" spans="60:61" x14ac:dyDescent="0.2">
      <c r="BH42" s="109"/>
      <c r="BI42" s="109"/>
    </row>
    <row r="43" spans="60:61" x14ac:dyDescent="0.2">
      <c r="BH43" s="109"/>
      <c r="BI43" s="109"/>
    </row>
    <row r="350" spans="56:63" x14ac:dyDescent="0.2">
      <c r="BD350" s="3"/>
      <c r="BI350" s="3"/>
      <c r="BK350" s="3"/>
    </row>
    <row r="434" spans="56:63" x14ac:dyDescent="0.2">
      <c r="BD434" s="3"/>
      <c r="BI434" s="3"/>
      <c r="BK434" s="3"/>
    </row>
    <row r="546" spans="56:63" x14ac:dyDescent="0.2">
      <c r="BD546" s="3"/>
      <c r="BI546" s="3"/>
      <c r="BK546" s="3"/>
    </row>
    <row r="608" spans="56:63" x14ac:dyDescent="0.2">
      <c r="BD608" s="3"/>
      <c r="BI608" s="3"/>
      <c r="BK608" s="3"/>
    </row>
    <row r="689" spans="56:63" x14ac:dyDescent="0.2">
      <c r="BD689" s="3"/>
      <c r="BI689" s="3"/>
      <c r="BK689" s="3"/>
    </row>
    <row r="756" spans="56:63" x14ac:dyDescent="0.2">
      <c r="BD756" s="3"/>
      <c r="BI756" s="3"/>
      <c r="BK756" s="3"/>
    </row>
    <row r="843" spans="56:63" x14ac:dyDescent="0.2">
      <c r="BD843" s="3"/>
      <c r="BI843" s="3"/>
      <c r="BK843" s="3"/>
    </row>
    <row r="860" spans="56:63" x14ac:dyDescent="0.2">
      <c r="BD860" s="3"/>
      <c r="BI860" s="3"/>
      <c r="BK860" s="3"/>
    </row>
    <row r="868" spans="56:63" x14ac:dyDescent="0.2">
      <c r="BD868" s="3"/>
      <c r="BI868" s="3"/>
      <c r="BK868" s="3"/>
    </row>
    <row r="972" spans="56:63" x14ac:dyDescent="0.2">
      <c r="BD972" s="3"/>
      <c r="BI972" s="3"/>
      <c r="BK972" s="3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Inputs</vt:lpstr>
      <vt:lpstr>Results</vt:lpstr>
    </vt:vector>
  </TitlesOfParts>
  <Company>USDA FSIS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Schlosser and Eric Ebel</dc:creator>
  <cp:lastModifiedBy>Pouillot, Regis</cp:lastModifiedBy>
  <dcterms:created xsi:type="dcterms:W3CDTF">2002-07-01T19:29:57Z</dcterms:created>
  <dcterms:modified xsi:type="dcterms:W3CDTF">2020-03-09T12:30:11Z</dcterms:modified>
</cp:coreProperties>
</file>